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Zak Wilcoxen\Documents\"/>
    </mc:Choice>
  </mc:AlternateContent>
  <xr:revisionPtr revIDLastSave="0" documentId="13_ncr:1_{8CA00E00-9076-4E1E-A24E-D9C9D38B3A4A}" xr6:coauthVersionLast="47" xr6:coauthVersionMax="47" xr10:uidLastSave="{00000000-0000-0000-0000-000000000000}"/>
  <bookViews>
    <workbookView xWindow="-120" yWindow="-120" windowWidth="29040" windowHeight="15720" xr2:uid="{E877FB3D-7F20-48B5-9130-C2546BF7569E}"/>
  </bookViews>
  <sheets>
    <sheet name="Octopus"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3" i="1" l="1"/>
  <c r="B32" i="1"/>
  <c r="E12" i="1"/>
  <c r="B30" i="1" s="1"/>
  <c r="B35" i="1" s="1"/>
  <c r="F10" i="1"/>
  <c r="G10" i="1" s="1"/>
  <c r="I10" i="1" s="1"/>
  <c r="F11" i="1"/>
  <c r="G11" i="1" s="1"/>
  <c r="I11" i="1" s="1"/>
  <c r="F13" i="1"/>
  <c r="G13" i="1" s="1"/>
  <c r="I13" i="1" s="1"/>
  <c r="F14" i="1"/>
  <c r="G14" i="1" s="1"/>
  <c r="I14" i="1" s="1"/>
  <c r="F15" i="1"/>
  <c r="G15" i="1" s="1"/>
  <c r="I15" i="1" s="1"/>
  <c r="B17" i="1"/>
  <c r="B25" i="1" s="1"/>
  <c r="B26" i="1" s="1"/>
  <c r="F9" i="1"/>
  <c r="G9" i="1" s="1"/>
  <c r="I9" i="1" s="1"/>
  <c r="F8" i="1"/>
  <c r="G8" i="1" s="1"/>
  <c r="I8" i="1" s="1"/>
  <c r="F7" i="1"/>
  <c r="G7" i="1" s="1"/>
  <c r="I7" i="1" s="1"/>
  <c r="F6" i="1"/>
  <c r="G6" i="1" s="1"/>
  <c r="I6" i="1" s="1"/>
  <c r="F5" i="1"/>
  <c r="G5" i="1" s="1"/>
  <c r="I5" i="1" s="1"/>
  <c r="F4" i="1"/>
  <c r="G4" i="1" s="1"/>
  <c r="I4" i="1" s="1"/>
  <c r="F3" i="1"/>
  <c r="G3" i="1" s="1"/>
  <c r="I3" i="1" s="1"/>
  <c r="B34" i="1" l="1"/>
  <c r="F12" i="1"/>
  <c r="G12" i="1" s="1"/>
  <c r="I12" i="1" s="1"/>
  <c r="B31" i="1"/>
  <c r="J13" i="1"/>
  <c r="K13" i="1"/>
  <c r="K15" i="1"/>
  <c r="J15" i="1"/>
  <c r="J12" i="1"/>
  <c r="K12" i="1"/>
  <c r="K14" i="1"/>
  <c r="J14" i="1"/>
  <c r="J11" i="1"/>
  <c r="K11" i="1"/>
  <c r="K10" i="1"/>
  <c r="J10" i="1"/>
  <c r="C15" i="1"/>
  <c r="N15" i="1" s="1"/>
  <c r="O15" i="1" s="1"/>
  <c r="C14" i="1"/>
  <c r="N14" i="1" s="1"/>
  <c r="O14" i="1" s="1"/>
  <c r="K5" i="1"/>
  <c r="J5" i="1"/>
  <c r="K9" i="1"/>
  <c r="J9" i="1"/>
  <c r="K6" i="1"/>
  <c r="J6" i="1"/>
  <c r="K3" i="1"/>
  <c r="J3" i="1"/>
  <c r="K7" i="1"/>
  <c r="J7" i="1"/>
  <c r="K4" i="1"/>
  <c r="J4" i="1"/>
  <c r="K8" i="1"/>
  <c r="J8" i="1"/>
  <c r="C12" i="1"/>
  <c r="N12" i="1" s="1"/>
  <c r="O12" i="1" s="1"/>
  <c r="C11" i="1"/>
  <c r="N11" i="1" s="1"/>
  <c r="O11" i="1" s="1"/>
  <c r="C10" i="1"/>
  <c r="N10" i="1" s="1"/>
  <c r="O10" i="1" s="1"/>
  <c r="C9" i="1"/>
  <c r="N9" i="1" s="1"/>
  <c r="O9" i="1" s="1"/>
  <c r="C8" i="1"/>
  <c r="N8" i="1" s="1"/>
  <c r="O8" i="1" s="1"/>
  <c r="C7" i="1"/>
  <c r="N7" i="1" s="1"/>
  <c r="O7" i="1" s="1"/>
  <c r="C6" i="1"/>
  <c r="N6" i="1" s="1"/>
  <c r="O6" i="1" s="1"/>
  <c r="C5" i="1"/>
  <c r="N5" i="1" s="1"/>
  <c r="O5" i="1" s="1"/>
  <c r="C4" i="1"/>
  <c r="N4" i="1" s="1"/>
  <c r="O4" i="1" s="1"/>
  <c r="C3" i="1"/>
  <c r="N3" i="1" s="1"/>
  <c r="O3" i="1" s="1"/>
  <c r="C13" i="1"/>
  <c r="N13" i="1" s="1"/>
  <c r="O13" i="1" s="1"/>
</calcChain>
</file>

<file path=xl/sharedStrings.xml><?xml version="1.0" encoding="utf-8"?>
<sst xmlns="http://schemas.openxmlformats.org/spreadsheetml/2006/main" count="56" uniqueCount="56">
  <si>
    <t>design temp</t>
  </si>
  <si>
    <t>room</t>
  </si>
  <si>
    <t>heat loss (-2°c)</t>
  </si>
  <si>
    <t>heat loss (15°c)</t>
  </si>
  <si>
    <t>rad output (@DT50)</t>
  </si>
  <si>
    <t>Output bboe</t>
  </si>
  <si>
    <t>f1 factor</t>
  </si>
  <si>
    <t>room temp</t>
  </si>
  <si>
    <t>MWT</t>
  </si>
  <si>
    <t>Flow temp</t>
  </si>
  <si>
    <t>calculated DT</t>
  </si>
  <si>
    <t>DT</t>
  </si>
  <si>
    <t>Minimum MWT</t>
  </si>
  <si>
    <t>Minimum flow</t>
  </si>
  <si>
    <t>bathroom</t>
  </si>
  <si>
    <t>dining room</t>
  </si>
  <si>
    <t>see 2 separate below</t>
  </si>
  <si>
    <t>((Fn^(1/1.32))*50)+Gn</t>
  </si>
  <si>
    <t>(Hn+(K3/2))</t>
  </si>
  <si>
    <t>(B1-Hn)*2</t>
  </si>
  <si>
    <t>House load per °c</t>
  </si>
  <si>
    <t>House Heatloss @15</t>
  </si>
  <si>
    <t>Total radiator output @dt50</t>
  </si>
  <si>
    <t>Total radiator output @dt20</t>
  </si>
  <si>
    <t>Total radiator output @dt15</t>
  </si>
  <si>
    <t>Total radiator output @dt10</t>
  </si>
  <si>
    <t>Total radiator output @dt5</t>
  </si>
  <si>
    <t>bedroom 1</t>
  </si>
  <si>
    <t>bedroom 2</t>
  </si>
  <si>
    <t>bedroom 3</t>
  </si>
  <si>
    <t>bedroom 4</t>
  </si>
  <si>
    <t>en-suite shower room</t>
  </si>
  <si>
    <t>Landing</t>
  </si>
  <si>
    <t>Laundry room</t>
  </si>
  <si>
    <t>Entrance hall</t>
  </si>
  <si>
    <t>office</t>
  </si>
  <si>
    <t>Store</t>
  </si>
  <si>
    <t>WC</t>
  </si>
  <si>
    <t>column 1600*500</t>
  </si>
  <si>
    <t>K2 Vert 1800*500</t>
  </si>
  <si>
    <t>Output of current radiators</t>
  </si>
  <si>
    <t>Total radiator output @dt30</t>
  </si>
  <si>
    <t>This is the output of the radiators with a flow temp of 70°c, as used by manufacturers and the calculations above</t>
  </si>
  <si>
    <t>flow temp 50°c</t>
  </si>
  <si>
    <t>flow temp 40°c</t>
  </si>
  <si>
    <t>flow temp 35°c</t>
  </si>
  <si>
    <t>flow temp 30°c</t>
  </si>
  <si>
    <t>flow temp 25°c</t>
  </si>
  <si>
    <t>Total heat loss</t>
  </si>
  <si>
    <t>Flow Temp neded</t>
  </si>
  <si>
    <t>54°c</t>
  </si>
  <si>
    <t>30°c</t>
  </si>
  <si>
    <t>Minimum flow temprature</t>
  </si>
  <si>
    <t>Minimum Temp without cycling  (external 15°c)</t>
  </si>
  <si>
    <r>
      <t xml:space="preserve">Values in </t>
    </r>
    <r>
      <rPr>
        <sz val="11"/>
        <color rgb="FF92D050"/>
        <rFont val="Calibri"/>
        <family val="2"/>
        <scheme val="minor"/>
      </rPr>
      <t>GREEN</t>
    </r>
    <r>
      <rPr>
        <sz val="11"/>
        <color theme="1"/>
        <rFont val="Calibri"/>
        <family val="2"/>
        <scheme val="minor"/>
      </rPr>
      <t xml:space="preserve"> can be changed and edited to suit your house or system design.  Values in </t>
    </r>
    <r>
      <rPr>
        <sz val="11"/>
        <color rgb="FFFF0000"/>
        <rFont val="Calibri"/>
        <family val="2"/>
        <scheme val="minor"/>
      </rPr>
      <t>RED</t>
    </r>
    <r>
      <rPr>
        <sz val="11"/>
        <color theme="1"/>
        <rFont val="Calibri"/>
        <family val="2"/>
        <scheme val="minor"/>
      </rPr>
      <t xml:space="preserve"> should not be edited as these are automatically calculated.  Flow temp needed is calculated by going to the next whole degree value above the highest flow temprture. Minimum Temp Without Cycling is based on 15*c outside and refrencing the radiator output table below (Daikin EDLA09 units aeem to sacrafice COP below 4kw output). Minimum flow temprature is calculated by going to the next whole degree value above the highest value in minimum flow.</t>
    </r>
  </si>
  <si>
    <t>~40°c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</si>
</sst>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rgb="FF006100"/>
      <name val="Calibri"/>
      <family val="2"/>
      <scheme val="minor"/>
    </font>
    <font>
      <sz val="11"/>
      <color rgb="FF9C5700"/>
      <name val="Calibri"/>
      <family val="2"/>
      <scheme val="minor"/>
    </font>
    <font>
      <b/>
      <sz val="11"/>
      <color rgb="FFFA7D00"/>
      <name val="Calibri"/>
      <family val="2"/>
      <scheme val="minor"/>
    </font>
    <font>
      <sz val="11"/>
      <color rgb="FFFF0000"/>
      <name val="Calibri"/>
      <family val="2"/>
      <scheme val="minor"/>
    </font>
    <font>
      <sz val="11"/>
      <color rgb="FF222222"/>
      <name val="Arial"/>
      <family val="2"/>
    </font>
    <font>
      <sz val="11"/>
      <color theme="7" tint="-0.499984740745262"/>
      <name val="Calibri"/>
      <family val="2"/>
      <scheme val="minor"/>
    </font>
    <font>
      <sz val="8"/>
      <name val="Calibri"/>
      <family val="2"/>
      <scheme val="minor"/>
    </font>
    <font>
      <sz val="11"/>
      <name val="Calibri"/>
      <family val="2"/>
      <scheme val="minor"/>
    </font>
    <font>
      <sz val="11"/>
      <color rgb="FFFF0000"/>
      <name val="Arial"/>
      <family val="2"/>
    </font>
    <font>
      <sz val="11"/>
      <color theme="9"/>
      <name val="Calibri"/>
      <family val="2"/>
      <scheme val="minor"/>
    </font>
    <font>
      <sz val="11"/>
      <color theme="9"/>
      <name val="Arial"/>
      <family val="2"/>
    </font>
    <font>
      <sz val="11"/>
      <color rgb="FF92D050"/>
      <name val="Calibri"/>
      <family val="2"/>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F2F2F2"/>
      </patternFill>
    </fill>
    <fill>
      <patternFill patternType="solid">
        <fgColor rgb="FFFFFF00"/>
        <bgColor indexed="64"/>
      </patternFill>
    </fill>
  </fills>
  <borders count="2">
    <border>
      <left/>
      <right/>
      <top/>
      <bottom/>
      <diagonal/>
    </border>
    <border>
      <left style="thin">
        <color rgb="FF7F7F7F"/>
      </left>
      <right style="thin">
        <color rgb="FF7F7F7F"/>
      </right>
      <top style="thin">
        <color rgb="FF7F7F7F"/>
      </top>
      <bottom style="thin">
        <color rgb="FF7F7F7F"/>
      </bottom>
      <diagonal/>
    </border>
  </borders>
  <cellStyleXfs count="4">
    <xf numFmtId="0" fontId="0" fillId="0" borderId="0"/>
    <xf numFmtId="0" fontId="1" fillId="2" borderId="0" applyNumberFormat="0" applyBorder="0" applyAlignment="0" applyProtection="0"/>
    <xf numFmtId="0" fontId="2" fillId="3" borderId="0" applyNumberFormat="0" applyBorder="0" applyAlignment="0" applyProtection="0"/>
    <xf numFmtId="0" fontId="3" fillId="4" borderId="1" applyNumberFormat="0" applyAlignment="0" applyProtection="0"/>
  </cellStyleXfs>
  <cellXfs count="26">
    <xf numFmtId="0" fontId="0" fillId="0" borderId="0" xfId="0"/>
    <xf numFmtId="0" fontId="3" fillId="4" borderId="1" xfId="3" applyAlignment="1">
      <alignment wrapText="1"/>
    </xf>
    <xf numFmtId="0" fontId="0" fillId="0" borderId="0" xfId="0" applyAlignment="1">
      <alignment wrapText="1"/>
    </xf>
    <xf numFmtId="2" fontId="0" fillId="0" borderId="0" xfId="0" applyNumberFormat="1"/>
    <xf numFmtId="0" fontId="5" fillId="0" borderId="0" xfId="0" applyFont="1"/>
    <xf numFmtId="0" fontId="1" fillId="2" borderId="0" xfId="1"/>
    <xf numFmtId="2" fontId="1" fillId="2" borderId="0" xfId="1" applyNumberFormat="1"/>
    <xf numFmtId="0" fontId="0" fillId="0" borderId="0" xfId="0" applyAlignment="1">
      <alignment horizontal="center" wrapText="1"/>
    </xf>
    <xf numFmtId="17" fontId="0" fillId="0" borderId="0" xfId="0" applyNumberFormat="1" applyAlignment="1">
      <alignment wrapText="1"/>
    </xf>
    <xf numFmtId="0" fontId="6" fillId="0" borderId="0" xfId="2" applyFont="1" applyFill="1"/>
    <xf numFmtId="0" fontId="2" fillId="0" borderId="0" xfId="2" applyFill="1"/>
    <xf numFmtId="0" fontId="8" fillId="0" borderId="0" xfId="0" applyFont="1" applyFill="1"/>
    <xf numFmtId="0" fontId="8" fillId="0" borderId="0" xfId="2" applyFont="1" applyFill="1"/>
    <xf numFmtId="0" fontId="0" fillId="5" borderId="0" xfId="0" applyFill="1"/>
    <xf numFmtId="2" fontId="4" fillId="0" borderId="0" xfId="0" applyNumberFormat="1" applyFont="1"/>
    <xf numFmtId="2" fontId="4" fillId="0" borderId="0" xfId="0" applyNumberFormat="1" applyFont="1" applyFill="1"/>
    <xf numFmtId="2" fontId="4" fillId="5" borderId="0" xfId="0" applyNumberFormat="1" applyFont="1" applyFill="1"/>
    <xf numFmtId="0" fontId="9" fillId="0" borderId="0" xfId="0" applyFont="1"/>
    <xf numFmtId="0" fontId="4" fillId="0" borderId="0" xfId="0" applyFont="1"/>
    <xf numFmtId="0" fontId="10" fillId="0" borderId="0" xfId="0" applyFont="1"/>
    <xf numFmtId="0" fontId="10" fillId="0" borderId="0" xfId="0" applyFont="1" applyFill="1"/>
    <xf numFmtId="0" fontId="10" fillId="0" borderId="0" xfId="2" applyFont="1" applyFill="1"/>
    <xf numFmtId="0" fontId="10" fillId="5" borderId="0" xfId="0" applyFont="1" applyFill="1"/>
    <xf numFmtId="0" fontId="11" fillId="0" borderId="0" xfId="0" applyFont="1"/>
    <xf numFmtId="0" fontId="4" fillId="0" borderId="0" xfId="0" applyFont="1" applyAlignment="1">
      <alignment wrapText="1"/>
    </xf>
    <xf numFmtId="0" fontId="12" fillId="5" borderId="0" xfId="0" applyFont="1" applyFill="1"/>
  </cellXfs>
  <cellStyles count="4">
    <cellStyle name="Calculation" xfId="3" builtinId="22"/>
    <cellStyle name="Good" xfId="1" builtinId="26"/>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0BF0C-3FD0-46E0-8B77-0A23D9D185D5}">
  <dimension ref="A1:P35"/>
  <sheetViews>
    <sheetView tabSelected="1" topLeftCell="A2" workbookViewId="0">
      <selection activeCell="B17" sqref="B17"/>
    </sheetView>
  </sheetViews>
  <sheetFormatPr defaultRowHeight="15" x14ac:dyDescent="0.25"/>
  <cols>
    <col min="1" max="1" width="26" bestFit="1" customWidth="1"/>
    <col min="2" max="2" width="14.140625" bestFit="1" customWidth="1"/>
    <col min="3" max="3" width="14.42578125" bestFit="1" customWidth="1"/>
    <col min="4" max="4" width="20" bestFit="1" customWidth="1"/>
    <col min="5" max="5" width="10.28515625" bestFit="1" customWidth="1"/>
    <col min="6" max="6" width="9" bestFit="1" customWidth="1"/>
    <col min="7" max="7" width="6.140625" bestFit="1" customWidth="1"/>
    <col min="8" max="8" width="5.7109375" bestFit="1" customWidth="1"/>
    <col min="9" max="9" width="43.7109375" bestFit="1" customWidth="1"/>
    <col min="10" max="10" width="11.28515625" bestFit="1" customWidth="1"/>
    <col min="11" max="11" width="10" bestFit="1" customWidth="1"/>
    <col min="12" max="13" width="3.28515625" bestFit="1" customWidth="1"/>
    <col min="14" max="14" width="9.5703125" bestFit="1" customWidth="1"/>
    <col min="15" max="15" width="9.5703125" customWidth="1"/>
  </cols>
  <sheetData>
    <row r="1" spans="1:15" x14ac:dyDescent="0.25">
      <c r="A1" t="s">
        <v>0</v>
      </c>
      <c r="B1" s="19">
        <v>50</v>
      </c>
    </row>
    <row r="2" spans="1:15" s="2" customFormat="1" ht="30" x14ac:dyDescent="0.25">
      <c r="A2" s="1" t="s">
        <v>1</v>
      </c>
      <c r="B2" s="1" t="s">
        <v>2</v>
      </c>
      <c r="C2" s="1" t="s">
        <v>3</v>
      </c>
      <c r="D2" s="1"/>
      <c r="E2" s="1" t="s">
        <v>4</v>
      </c>
      <c r="F2" s="1" t="s">
        <v>5</v>
      </c>
      <c r="G2" s="1" t="s">
        <v>6</v>
      </c>
      <c r="H2" s="1" t="s">
        <v>7</v>
      </c>
      <c r="I2" s="1" t="s">
        <v>8</v>
      </c>
      <c r="J2" s="1" t="s">
        <v>9</v>
      </c>
      <c r="K2" s="1" t="s">
        <v>10</v>
      </c>
      <c r="L2" s="1" t="s">
        <v>11</v>
      </c>
      <c r="N2" s="2" t="s">
        <v>12</v>
      </c>
      <c r="O2" s="2" t="s">
        <v>13</v>
      </c>
    </row>
    <row r="3" spans="1:15" x14ac:dyDescent="0.25">
      <c r="A3" t="s">
        <v>14</v>
      </c>
      <c r="B3" s="19">
        <v>472</v>
      </c>
      <c r="C3" s="14">
        <f>SUM($B$26/($B$17/1000))*B3</f>
        <v>123.13043478260869</v>
      </c>
      <c r="E3" s="23">
        <v>1031</v>
      </c>
      <c r="F3" s="17">
        <f>SUM(E3*0.96)</f>
        <v>989.76</v>
      </c>
      <c r="G3" s="14">
        <f>SUM($B3/$F3)</f>
        <v>0.47688328483672809</v>
      </c>
      <c r="H3" s="19">
        <v>22</v>
      </c>
      <c r="I3" s="14">
        <f>((G3^(1/1.32))*50)+H3</f>
        <v>50.532695891540925</v>
      </c>
      <c r="J3" s="14">
        <f>SUM(I3+($L$3/2))</f>
        <v>53.032695891540925</v>
      </c>
      <c r="K3" s="14">
        <f>SUM($B$1-I3)*2</f>
        <v>-1.06539178308185</v>
      </c>
      <c r="L3" s="19">
        <v>5</v>
      </c>
      <c r="N3" s="14">
        <f>(((C3/E3)*(1/1.32))*50)+H3</f>
        <v>26.523794006356315</v>
      </c>
      <c r="O3" s="14">
        <f>SUM(N3+($L$3/2))</f>
        <v>29.023794006356315</v>
      </c>
    </row>
    <row r="4" spans="1:15" x14ac:dyDescent="0.25">
      <c r="A4" t="s">
        <v>27</v>
      </c>
      <c r="B4" s="19">
        <v>602</v>
      </c>
      <c r="C4" s="14">
        <f>SUM($B$26/($B$17/1000))*B4</f>
        <v>157.04347826086956</v>
      </c>
      <c r="E4" s="19">
        <v>1282</v>
      </c>
      <c r="F4" s="17">
        <f t="shared" ref="F4:F8" si="0">SUM(E4*0.96)</f>
        <v>1230.72</v>
      </c>
      <c r="G4" s="14">
        <f t="shared" ref="G4:G8" si="1">SUM($B4/$F4)</f>
        <v>0.48914456578263127</v>
      </c>
      <c r="H4" s="19">
        <v>18</v>
      </c>
      <c r="I4" s="14">
        <f>((G4^(1/1.32))*50)+H4</f>
        <v>47.086748840968198</v>
      </c>
      <c r="J4" s="14">
        <f t="shared" ref="J4:J15" si="2">SUM(I4+($L$3/2))</f>
        <v>49.586748840968198</v>
      </c>
      <c r="K4" s="14">
        <f t="shared" ref="K4" si="3">SUM($B$1-I4)*2</f>
        <v>5.8265023180636035</v>
      </c>
      <c r="N4" s="14">
        <f t="shared" ref="N4:N15" si="4">(((C4/E4)*(1/1.32))*50)+H4</f>
        <v>22.640106552878716</v>
      </c>
      <c r="O4" s="14">
        <f t="shared" ref="O4:O15" si="5">SUM(N4+($L$3/2))</f>
        <v>25.140106552878716</v>
      </c>
    </row>
    <row r="5" spans="1:15" x14ac:dyDescent="0.25">
      <c r="A5" t="s">
        <v>28</v>
      </c>
      <c r="B5" s="19">
        <v>253</v>
      </c>
      <c r="C5" s="14">
        <f>SUM($B$26/($B$17/1000))*B5</f>
        <v>66</v>
      </c>
      <c r="E5" s="19">
        <v>888</v>
      </c>
      <c r="F5" s="17">
        <f t="shared" si="0"/>
        <v>852.48</v>
      </c>
      <c r="G5" s="14">
        <f t="shared" si="1"/>
        <v>0.29678115615615613</v>
      </c>
      <c r="H5" s="19">
        <v>18</v>
      </c>
      <c r="I5" s="14">
        <f>((G5^(1/1.32))*50)+H5</f>
        <v>37.920514524765224</v>
      </c>
      <c r="J5" s="14">
        <f t="shared" si="2"/>
        <v>40.420514524765224</v>
      </c>
      <c r="K5" s="14">
        <f>SUM($B$1-I5)*2</f>
        <v>24.158970950469552</v>
      </c>
      <c r="N5" s="14">
        <f t="shared" si="4"/>
        <v>20.815315315315317</v>
      </c>
      <c r="O5" s="14">
        <f t="shared" si="5"/>
        <v>23.315315315315317</v>
      </c>
    </row>
    <row r="6" spans="1:15" x14ac:dyDescent="0.25">
      <c r="A6" t="s">
        <v>29</v>
      </c>
      <c r="B6" s="19">
        <v>565</v>
      </c>
      <c r="C6" s="14">
        <f>SUM($B$26/($B$17/1000))*B6</f>
        <v>147.39130434782609</v>
      </c>
      <c r="E6" s="19">
        <v>1084</v>
      </c>
      <c r="F6" s="17">
        <f t="shared" si="0"/>
        <v>1040.6399999999999</v>
      </c>
      <c r="G6" s="14">
        <f t="shared" si="1"/>
        <v>0.54293511685116858</v>
      </c>
      <c r="H6" s="19">
        <v>18</v>
      </c>
      <c r="I6" s="14">
        <f>((G6^(1/1.32))*50)+H6</f>
        <v>49.479039200878702</v>
      </c>
      <c r="J6" s="14">
        <f t="shared" si="2"/>
        <v>51.979039200878702</v>
      </c>
      <c r="K6" s="14">
        <f t="shared" ref="K6:K8" si="6">SUM($B$1-I6)*2</f>
        <v>1.0419215982425953</v>
      </c>
      <c r="N6" s="14">
        <f t="shared" si="4"/>
        <v>23.150372649971558</v>
      </c>
      <c r="O6" s="14">
        <f t="shared" si="5"/>
        <v>25.650372649971558</v>
      </c>
    </row>
    <row r="7" spans="1:15" x14ac:dyDescent="0.25">
      <c r="A7" t="s">
        <v>30</v>
      </c>
      <c r="B7" s="19">
        <v>546</v>
      </c>
      <c r="C7" s="14">
        <f>SUM($B$26/($B$17/1000))*B7</f>
        <v>142.43478260869566</v>
      </c>
      <c r="E7" s="19">
        <v>1174</v>
      </c>
      <c r="F7" s="17">
        <f t="shared" si="0"/>
        <v>1127.04</v>
      </c>
      <c r="G7" s="14">
        <f t="shared" si="1"/>
        <v>0.48445485519591142</v>
      </c>
      <c r="H7" s="19">
        <v>18</v>
      </c>
      <c r="I7" s="14">
        <f t="shared" ref="I7:I15" si="7">((G7^(1/1.32))*50)+H7</f>
        <v>46.875236123453597</v>
      </c>
      <c r="J7" s="14">
        <f t="shared" si="2"/>
        <v>49.375236123453597</v>
      </c>
      <c r="K7" s="14">
        <f t="shared" si="6"/>
        <v>6.2495277530928064</v>
      </c>
      <c r="N7" s="14">
        <f t="shared" si="4"/>
        <v>22.595619179724061</v>
      </c>
      <c r="O7" s="14">
        <f t="shared" si="5"/>
        <v>25.095619179724061</v>
      </c>
    </row>
    <row r="8" spans="1:15" x14ac:dyDescent="0.25">
      <c r="A8" t="s">
        <v>31</v>
      </c>
      <c r="B8" s="19">
        <v>448</v>
      </c>
      <c r="C8" s="14">
        <f>SUM($B$26/($B$17/1000))*B8</f>
        <v>116.8695652173913</v>
      </c>
      <c r="E8" s="19">
        <v>1405</v>
      </c>
      <c r="F8" s="17">
        <f t="shared" si="0"/>
        <v>1348.8</v>
      </c>
      <c r="G8" s="14">
        <f t="shared" si="1"/>
        <v>0.33214709371293</v>
      </c>
      <c r="H8" s="19">
        <v>21</v>
      </c>
      <c r="I8" s="14">
        <f t="shared" si="7"/>
        <v>42.694096240003255</v>
      </c>
      <c r="J8" s="14">
        <f t="shared" si="2"/>
        <v>45.194096240003255</v>
      </c>
      <c r="K8" s="14">
        <f t="shared" si="6"/>
        <v>14.611807519993491</v>
      </c>
      <c r="N8" s="14">
        <f t="shared" si="4"/>
        <v>24.150802470004081</v>
      </c>
      <c r="O8" s="14">
        <f t="shared" si="5"/>
        <v>26.650802470004081</v>
      </c>
    </row>
    <row r="9" spans="1:15" x14ac:dyDescent="0.25">
      <c r="A9" t="s">
        <v>34</v>
      </c>
      <c r="B9" s="19">
        <v>601</v>
      </c>
      <c r="C9" s="14">
        <f>SUM($B$26/($B$17/1000))*B9</f>
        <v>156.78260869565216</v>
      </c>
      <c r="E9" s="19">
        <v>1174</v>
      </c>
      <c r="F9" s="18">
        <f t="shared" ref="F9:F15" si="8">SUM(E9*0.96)</f>
        <v>1127.04</v>
      </c>
      <c r="G9" s="14">
        <f>SUM(B9/F9)</f>
        <v>0.53325525269733109</v>
      </c>
      <c r="H9" s="19">
        <v>18</v>
      </c>
      <c r="I9" s="14">
        <f t="shared" si="7"/>
        <v>49.052937392993307</v>
      </c>
      <c r="J9" s="14">
        <f t="shared" si="2"/>
        <v>51.552937392993307</v>
      </c>
      <c r="K9" s="14">
        <f>SUM($B$1-I9)*2</f>
        <v>1.8941252140133855</v>
      </c>
      <c r="N9" s="14">
        <f t="shared" si="4"/>
        <v>23.058547851674284</v>
      </c>
      <c r="O9" s="14">
        <f t="shared" si="5"/>
        <v>25.558547851674284</v>
      </c>
    </row>
    <row r="10" spans="1:15" x14ac:dyDescent="0.25">
      <c r="A10" s="11" t="s">
        <v>32</v>
      </c>
      <c r="B10" s="20">
        <v>373</v>
      </c>
      <c r="C10" s="15">
        <f>SUM($B$26/($B$17/1000))*B10</f>
        <v>97.304347826086953</v>
      </c>
      <c r="D10" s="9"/>
      <c r="E10" s="19">
        <v>829</v>
      </c>
      <c r="F10" s="18">
        <f t="shared" si="8"/>
        <v>795.83999999999992</v>
      </c>
      <c r="G10" s="14">
        <f t="shared" ref="G10:G15" si="9">SUM(B10/F10)</f>
        <v>0.4686871733011661</v>
      </c>
      <c r="H10" s="19">
        <v>18</v>
      </c>
      <c r="I10" s="14">
        <f t="shared" si="7"/>
        <v>46.16041141402053</v>
      </c>
      <c r="J10" s="14">
        <f t="shared" si="2"/>
        <v>48.66041141402053</v>
      </c>
      <c r="K10" s="14">
        <f t="shared" ref="K10:K15" si="10">SUM($B$1-I10)*2</f>
        <v>7.6791771719589406</v>
      </c>
      <c r="N10" s="14">
        <f t="shared" si="4"/>
        <v>22.446044331710667</v>
      </c>
      <c r="O10" s="14">
        <f t="shared" si="5"/>
        <v>24.946044331710667</v>
      </c>
    </row>
    <row r="11" spans="1:15" x14ac:dyDescent="0.25">
      <c r="A11" s="12" t="s">
        <v>33</v>
      </c>
      <c r="B11" s="21">
        <v>557</v>
      </c>
      <c r="C11" s="15">
        <f>SUM($B$26/($B$17/1000))*B11</f>
        <v>145.30434782608694</v>
      </c>
      <c r="D11" s="10"/>
      <c r="E11" s="19">
        <v>1174</v>
      </c>
      <c r="F11" s="18">
        <f t="shared" si="8"/>
        <v>1127.04</v>
      </c>
      <c r="G11" s="14">
        <f t="shared" si="9"/>
        <v>0.49421493469619537</v>
      </c>
      <c r="H11" s="19">
        <v>18</v>
      </c>
      <c r="I11" s="14">
        <f t="shared" si="7"/>
        <v>47.314877522969695</v>
      </c>
      <c r="J11" s="14">
        <f t="shared" si="2"/>
        <v>49.814877522969695</v>
      </c>
      <c r="K11" s="14">
        <f t="shared" si="10"/>
        <v>5.3702449540606096</v>
      </c>
      <c r="N11" s="14">
        <f t="shared" si="4"/>
        <v>22.688204914114106</v>
      </c>
      <c r="O11" s="14">
        <f t="shared" si="5"/>
        <v>25.188204914114106</v>
      </c>
    </row>
    <row r="12" spans="1:15" x14ac:dyDescent="0.25">
      <c r="A12" s="13" t="s">
        <v>15</v>
      </c>
      <c r="B12" s="22">
        <v>1121</v>
      </c>
      <c r="C12" s="16">
        <f>SUM($B$26/($B$17/1000))*B12</f>
        <v>292.43478260869563</v>
      </c>
      <c r="D12" s="13" t="s">
        <v>16</v>
      </c>
      <c r="E12" s="19">
        <f>SUM(E19+E20)</f>
        <v>2668</v>
      </c>
      <c r="F12" s="18">
        <f t="shared" si="8"/>
        <v>2561.2799999999997</v>
      </c>
      <c r="G12" s="14">
        <f t="shared" si="9"/>
        <v>0.4376717891054473</v>
      </c>
      <c r="H12" s="19">
        <v>21</v>
      </c>
      <c r="I12" s="14">
        <f t="shared" si="7"/>
        <v>47.737010617134885</v>
      </c>
      <c r="J12" s="14">
        <f t="shared" si="2"/>
        <v>50.237010617134885</v>
      </c>
      <c r="K12" s="14">
        <f t="shared" si="10"/>
        <v>4.5259787657302297</v>
      </c>
      <c r="N12" s="14">
        <f t="shared" si="4"/>
        <v>25.151827248431118</v>
      </c>
      <c r="O12" s="14">
        <f t="shared" si="5"/>
        <v>27.651827248431118</v>
      </c>
    </row>
    <row r="13" spans="1:15" x14ac:dyDescent="0.25">
      <c r="A13" t="s">
        <v>35</v>
      </c>
      <c r="B13" s="19">
        <v>612</v>
      </c>
      <c r="C13" s="14">
        <f>SUM($B$26/($B$17/1000))*B13</f>
        <v>159.65217391304347</v>
      </c>
      <c r="E13" s="19">
        <v>1274</v>
      </c>
      <c r="F13" s="18">
        <f t="shared" si="8"/>
        <v>1223.04</v>
      </c>
      <c r="G13" s="14">
        <f t="shared" si="9"/>
        <v>0.50039246467817899</v>
      </c>
      <c r="H13" s="19">
        <v>21</v>
      </c>
      <c r="I13" s="14">
        <f t="shared" si="7"/>
        <v>50.592055061029782</v>
      </c>
      <c r="J13" s="14">
        <f t="shared" si="2"/>
        <v>53.092055061029782</v>
      </c>
      <c r="K13" s="14">
        <f t="shared" si="10"/>
        <v>-1.1841101220595647</v>
      </c>
      <c r="N13" s="14">
        <f t="shared" si="4"/>
        <v>25.746805989042013</v>
      </c>
      <c r="O13" s="14">
        <f t="shared" si="5"/>
        <v>28.246805989042013</v>
      </c>
    </row>
    <row r="14" spans="1:15" x14ac:dyDescent="0.25">
      <c r="A14" t="s">
        <v>36</v>
      </c>
      <c r="B14" s="19">
        <v>391</v>
      </c>
      <c r="C14" s="14">
        <f>SUM($B$26/($B$17/1000))*B14</f>
        <v>102</v>
      </c>
      <c r="E14" s="19">
        <v>984</v>
      </c>
      <c r="F14" s="18">
        <f t="shared" si="8"/>
        <v>944.64</v>
      </c>
      <c r="G14" s="14">
        <f t="shared" si="9"/>
        <v>0.41391429539295393</v>
      </c>
      <c r="H14">
        <v>16</v>
      </c>
      <c r="I14" s="14">
        <f t="shared" si="7"/>
        <v>41.630119438451537</v>
      </c>
      <c r="J14" s="14">
        <f t="shared" si="2"/>
        <v>44.130119438451537</v>
      </c>
      <c r="K14" s="14">
        <f t="shared" si="10"/>
        <v>16.739761123096926</v>
      </c>
      <c r="N14" s="14">
        <f t="shared" si="4"/>
        <v>19.926459719142645</v>
      </c>
      <c r="O14" s="14">
        <f t="shared" si="5"/>
        <v>22.426459719142645</v>
      </c>
    </row>
    <row r="15" spans="1:15" x14ac:dyDescent="0.25">
      <c r="A15" t="s">
        <v>37</v>
      </c>
      <c r="B15" s="19">
        <v>91</v>
      </c>
      <c r="C15" s="14">
        <f>SUM($B$26/($B$17/1000))*B15</f>
        <v>23.739130434782609</v>
      </c>
      <c r="E15" s="19">
        <v>484</v>
      </c>
      <c r="F15" s="18">
        <f t="shared" si="8"/>
        <v>464.64</v>
      </c>
      <c r="G15" s="14">
        <f t="shared" si="9"/>
        <v>0.19585055096418733</v>
      </c>
      <c r="H15" s="19">
        <v>18</v>
      </c>
      <c r="I15" s="14">
        <f t="shared" si="7"/>
        <v>32.539497478818177</v>
      </c>
      <c r="J15" s="14">
        <f t="shared" si="2"/>
        <v>35.039497478818177</v>
      </c>
      <c r="K15" s="14">
        <f t="shared" si="10"/>
        <v>34.921005042363646</v>
      </c>
      <c r="N15" s="14">
        <f t="shared" si="4"/>
        <v>19.857870839185967</v>
      </c>
      <c r="O15" s="14">
        <f t="shared" si="5"/>
        <v>22.357870839185967</v>
      </c>
    </row>
    <row r="16" spans="1:15" x14ac:dyDescent="0.25">
      <c r="C16" s="3"/>
      <c r="F16" s="4"/>
      <c r="G16" s="3"/>
      <c r="I16" s="3"/>
      <c r="J16" s="3"/>
      <c r="K16" s="3"/>
      <c r="N16" s="3"/>
      <c r="O16" s="3"/>
    </row>
    <row r="17" spans="1:16" x14ac:dyDescent="0.25">
      <c r="A17" s="5" t="s">
        <v>48</v>
      </c>
      <c r="B17" s="5">
        <f>SUM(B3:B15)</f>
        <v>6632</v>
      </c>
      <c r="C17" s="5"/>
      <c r="D17" s="5"/>
      <c r="E17" s="5"/>
      <c r="F17" s="5"/>
      <c r="G17" s="6"/>
      <c r="H17" s="5"/>
      <c r="I17" s="3" t="s">
        <v>49</v>
      </c>
      <c r="J17" s="3" t="s">
        <v>50</v>
      </c>
      <c r="K17" s="3"/>
    </row>
    <row r="18" spans="1:16" x14ac:dyDescent="0.25">
      <c r="F18" s="4"/>
      <c r="G18" s="3"/>
      <c r="I18" s="3" t="s">
        <v>53</v>
      </c>
      <c r="J18" s="3" t="s">
        <v>55</v>
      </c>
      <c r="K18" s="3"/>
    </row>
    <row r="19" spans="1:16" x14ac:dyDescent="0.25">
      <c r="A19" s="13" t="s">
        <v>38</v>
      </c>
      <c r="B19" s="13"/>
      <c r="C19" s="13"/>
      <c r="D19" s="13"/>
      <c r="E19" s="25">
        <v>1000</v>
      </c>
      <c r="F19" s="4"/>
      <c r="G19" s="3"/>
      <c r="I19" s="3" t="s">
        <v>52</v>
      </c>
      <c r="J19" s="3" t="s">
        <v>51</v>
      </c>
      <c r="K19" s="3"/>
    </row>
    <row r="20" spans="1:16" x14ac:dyDescent="0.25">
      <c r="A20" s="13" t="s">
        <v>39</v>
      </c>
      <c r="B20" s="13"/>
      <c r="C20" s="13"/>
      <c r="D20" s="13"/>
      <c r="E20" s="25">
        <v>1668</v>
      </c>
      <c r="F20" s="4"/>
      <c r="G20" s="3"/>
      <c r="I20" s="3"/>
      <c r="J20" s="3"/>
      <c r="K20" s="3"/>
    </row>
    <row r="22" spans="1:16" x14ac:dyDescent="0.25">
      <c r="I22" t="s">
        <v>17</v>
      </c>
      <c r="J22" t="s">
        <v>18</v>
      </c>
      <c r="K22" t="s">
        <v>19</v>
      </c>
    </row>
    <row r="24" spans="1:16" x14ac:dyDescent="0.25">
      <c r="A24" s="2"/>
      <c r="B24" s="2"/>
      <c r="C24" s="2"/>
      <c r="D24" s="7" t="s">
        <v>54</v>
      </c>
      <c r="E24" s="7"/>
      <c r="F24" s="7"/>
      <c r="G24" s="7"/>
      <c r="H24" s="7"/>
      <c r="I24" s="7"/>
      <c r="J24" s="7"/>
      <c r="K24" s="7"/>
    </row>
    <row r="25" spans="1:16" x14ac:dyDescent="0.25">
      <c r="A25" s="2" t="s">
        <v>20</v>
      </c>
      <c r="B25" s="24">
        <f>SUM(B17/23)/1000</f>
        <v>0.28834782608695653</v>
      </c>
      <c r="C25" s="2"/>
      <c r="D25" s="7"/>
      <c r="E25" s="7"/>
      <c r="F25" s="7"/>
      <c r="G25" s="7"/>
      <c r="H25" s="7"/>
      <c r="I25" s="7"/>
      <c r="J25" s="7"/>
      <c r="K25" s="7"/>
    </row>
    <row r="26" spans="1:16" x14ac:dyDescent="0.25">
      <c r="A26" s="2" t="s">
        <v>21</v>
      </c>
      <c r="B26" s="24">
        <f>SUM(B25*6)</f>
        <v>1.7300869565217392</v>
      </c>
      <c r="C26" s="2"/>
      <c r="D26" s="7"/>
      <c r="E26" s="7"/>
      <c r="F26" s="7"/>
      <c r="G26" s="7"/>
      <c r="H26" s="7"/>
      <c r="I26" s="7"/>
      <c r="J26" s="7"/>
      <c r="K26" s="7"/>
    </row>
    <row r="27" spans="1:16" x14ac:dyDescent="0.25">
      <c r="A27" s="2"/>
      <c r="B27" s="2"/>
      <c r="C27" s="2"/>
      <c r="D27" s="7"/>
      <c r="E27" s="7"/>
      <c r="F27" s="7"/>
      <c r="G27" s="7"/>
      <c r="H27" s="7"/>
      <c r="I27" s="7"/>
      <c r="J27" s="7"/>
      <c r="K27" s="7"/>
    </row>
    <row r="28" spans="1:16" x14ac:dyDescent="0.25">
      <c r="A28" s="2"/>
      <c r="B28" s="2"/>
      <c r="C28" s="2"/>
      <c r="D28" s="7"/>
      <c r="E28" s="7"/>
      <c r="F28" s="7"/>
      <c r="G28" s="7"/>
      <c r="H28" s="7"/>
      <c r="I28" s="7"/>
      <c r="J28" s="7"/>
      <c r="K28" s="7"/>
    </row>
    <row r="29" spans="1:16" ht="45" x14ac:dyDescent="0.25">
      <c r="A29" s="2"/>
      <c r="B29" s="8" t="s">
        <v>40</v>
      </c>
      <c r="C29" s="2"/>
      <c r="D29" s="2"/>
      <c r="E29" s="2"/>
      <c r="F29" s="2"/>
      <c r="G29" s="2"/>
    </row>
    <row r="30" spans="1:16" ht="15" customHeight="1" x14ac:dyDescent="0.25">
      <c r="A30" s="2" t="s">
        <v>22</v>
      </c>
      <c r="B30" s="24">
        <f>SUM(E3:E15)</f>
        <v>15451</v>
      </c>
      <c r="C30" s="7" t="s">
        <v>42</v>
      </c>
      <c r="D30" s="7"/>
      <c r="E30" s="7"/>
      <c r="F30" s="7"/>
      <c r="G30" s="7"/>
      <c r="H30" s="7"/>
      <c r="I30" s="7"/>
      <c r="J30" s="7"/>
      <c r="K30" s="7"/>
      <c r="L30" s="2"/>
      <c r="M30" s="2"/>
      <c r="N30" s="2"/>
      <c r="O30" s="2"/>
      <c r="P30" s="2"/>
    </row>
    <row r="31" spans="1:16" x14ac:dyDescent="0.25">
      <c r="A31" s="2" t="s">
        <v>41</v>
      </c>
      <c r="B31" s="18">
        <f>SUM($B$30*0.51)</f>
        <v>7880.01</v>
      </c>
      <c r="C31" s="2" t="s">
        <v>43</v>
      </c>
      <c r="D31" s="2"/>
      <c r="E31" s="2"/>
      <c r="F31" s="2"/>
      <c r="G31" s="2"/>
    </row>
    <row r="32" spans="1:16" x14ac:dyDescent="0.25">
      <c r="A32" s="2" t="s">
        <v>23</v>
      </c>
      <c r="B32" s="18">
        <f>SUM($B$30*0.3)</f>
        <v>4635.3</v>
      </c>
      <c r="C32" s="2" t="s">
        <v>44</v>
      </c>
    </row>
    <row r="33" spans="1:3" x14ac:dyDescent="0.25">
      <c r="A33" s="2" t="s">
        <v>24</v>
      </c>
      <c r="B33" s="18">
        <f>SUM($B$30*0.21)</f>
        <v>3244.71</v>
      </c>
      <c r="C33" s="2" t="s">
        <v>45</v>
      </c>
    </row>
    <row r="34" spans="1:3" x14ac:dyDescent="0.25">
      <c r="A34" s="2" t="s">
        <v>25</v>
      </c>
      <c r="B34" s="18">
        <f>SUM($B$30*0.12)</f>
        <v>1854.12</v>
      </c>
      <c r="C34" s="2" t="s">
        <v>46</v>
      </c>
    </row>
    <row r="35" spans="1:3" x14ac:dyDescent="0.25">
      <c r="A35" t="s">
        <v>26</v>
      </c>
      <c r="B35" s="18">
        <f>SUM($B$30*0.05)</f>
        <v>772.55000000000007</v>
      </c>
      <c r="C35" s="2" t="s">
        <v>47</v>
      </c>
    </row>
  </sheetData>
  <mergeCells count="2">
    <mergeCell ref="C30:K30"/>
    <mergeCell ref="D24:K28"/>
  </mergeCells>
  <phoneticPr fontId="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Octopus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Zak Wilcoxen</dc:creator>
  <cp:lastModifiedBy>Zak Wilcoxen</cp:lastModifiedBy>
  <dcterms:created xsi:type="dcterms:W3CDTF">2024-01-25T11:07:45Z</dcterms:created>
  <dcterms:modified xsi:type="dcterms:W3CDTF">2024-01-25T12:22:19Z</dcterms:modified>
</cp:coreProperties>
</file>