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80" windowWidth="12230" windowHeight="6430"/>
  </bookViews>
  <sheets>
    <sheet name="Sheet1" sheetId="1" r:id="rId1"/>
    <sheet name="Sheet2" sheetId="2" r:id="rId2"/>
    <sheet name="Sheet3" sheetId="3" r:id="rId3"/>
  </sheets>
  <calcPr calcId="125725" iterate="1"/>
</workbook>
</file>

<file path=xl/calcChain.xml><?xml version="1.0" encoding="utf-8"?>
<calcChain xmlns="http://schemas.openxmlformats.org/spreadsheetml/2006/main">
  <c r="U50" i="1"/>
  <c r="T49"/>
  <c r="S49"/>
  <c r="Q49"/>
  <c r="Q50"/>
  <c r="P50"/>
  <c r="P49"/>
  <c r="I49"/>
  <c r="J49"/>
  <c r="K49"/>
  <c r="I50"/>
  <c r="J50"/>
  <c r="K50"/>
  <c r="H50"/>
  <c r="H49"/>
  <c r="F49"/>
  <c r="F50"/>
  <c r="F52"/>
  <c r="F53"/>
  <c r="D50"/>
  <c r="C49"/>
  <c r="C50"/>
  <c r="B50"/>
  <c r="L39"/>
  <c r="L40"/>
  <c r="L41"/>
  <c r="L42"/>
  <c r="L43"/>
  <c r="L44"/>
  <c r="L45"/>
  <c r="L46"/>
  <c r="L47"/>
  <c r="L38"/>
  <c r="U38"/>
  <c r="W38"/>
  <c r="Y38" s="1"/>
  <c r="X38"/>
  <c r="AB38" s="1"/>
  <c r="AE38"/>
  <c r="AG38"/>
  <c r="AH38" s="1"/>
  <c r="U39"/>
  <c r="W39"/>
  <c r="X39"/>
  <c r="AB39"/>
  <c r="AE39"/>
  <c r="AG39"/>
  <c r="U40"/>
  <c r="W40"/>
  <c r="X40"/>
  <c r="AB40" s="1"/>
  <c r="AE40"/>
  <c r="AG40"/>
  <c r="U41"/>
  <c r="W41"/>
  <c r="Y41" s="1"/>
  <c r="X41"/>
  <c r="AB41" s="1"/>
  <c r="AE41"/>
  <c r="AG41"/>
  <c r="U42"/>
  <c r="W42"/>
  <c r="X42"/>
  <c r="AB42" s="1"/>
  <c r="AE42"/>
  <c r="AG42"/>
  <c r="U43"/>
  <c r="W43"/>
  <c r="X43"/>
  <c r="AB43" s="1"/>
  <c r="AE43"/>
  <c r="AG43"/>
  <c r="U44"/>
  <c r="W44"/>
  <c r="X44"/>
  <c r="AB44" s="1"/>
  <c r="AE44"/>
  <c r="AG44"/>
  <c r="U45"/>
  <c r="W45"/>
  <c r="X45"/>
  <c r="AB45" s="1"/>
  <c r="AE45"/>
  <c r="AG45"/>
  <c r="U46"/>
  <c r="W46"/>
  <c r="Y46" s="1"/>
  <c r="X46"/>
  <c r="AB46"/>
  <c r="AE46"/>
  <c r="AG46"/>
  <c r="U47"/>
  <c r="W47"/>
  <c r="X47"/>
  <c r="AB47" s="1"/>
  <c r="AE47"/>
  <c r="AG47"/>
  <c r="U37"/>
  <c r="W37"/>
  <c r="X37"/>
  <c r="AB37" s="1"/>
  <c r="AG37"/>
  <c r="AE37"/>
  <c r="L37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18"/>
  <c r="AE49" s="1"/>
  <c r="AG19"/>
  <c r="AG20"/>
  <c r="AG21"/>
  <c r="AG22"/>
  <c r="AG23"/>
  <c r="AG24"/>
  <c r="AG25"/>
  <c r="AG26"/>
  <c r="AG27"/>
  <c r="AH27" s="1"/>
  <c r="AG28"/>
  <c r="AG29"/>
  <c r="AG30"/>
  <c r="AG31"/>
  <c r="AG32"/>
  <c r="AG33"/>
  <c r="AG34"/>
  <c r="AG35"/>
  <c r="AH35" s="1"/>
  <c r="AG36"/>
  <c r="AG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18"/>
  <c r="L53" l="1"/>
  <c r="L52"/>
  <c r="AE50"/>
  <c r="AH37"/>
  <c r="AH46"/>
  <c r="AH44"/>
  <c r="AH40"/>
  <c r="AG50"/>
  <c r="AG49"/>
  <c r="AH34"/>
  <c r="AH30"/>
  <c r="AH26"/>
  <c r="AH22"/>
  <c r="AH31"/>
  <c r="AH23"/>
  <c r="AH19"/>
  <c r="AH36"/>
  <c r="AH32"/>
  <c r="AH28"/>
  <c r="AH24"/>
  <c r="AH20"/>
  <c r="AH41"/>
  <c r="AH47"/>
  <c r="AH45"/>
  <c r="Y45"/>
  <c r="AH43"/>
  <c r="AH42"/>
  <c r="Y42"/>
  <c r="AH39"/>
  <c r="Y37"/>
  <c r="Y44"/>
  <c r="Y47"/>
  <c r="Y43"/>
  <c r="Y39"/>
  <c r="Y40"/>
  <c r="AH33"/>
  <c r="AH29"/>
  <c r="AH25"/>
  <c r="AH21"/>
  <c r="U36"/>
  <c r="W36"/>
  <c r="X36"/>
  <c r="AB36" s="1"/>
  <c r="S68"/>
  <c r="D49"/>
  <c r="B49"/>
  <c r="AH18"/>
  <c r="X20"/>
  <c r="AB20" s="1"/>
  <c r="X21"/>
  <c r="AB21" s="1"/>
  <c r="X22"/>
  <c r="AB22" s="1"/>
  <c r="X23"/>
  <c r="X24"/>
  <c r="AB24" s="1"/>
  <c r="X25"/>
  <c r="AB25" s="1"/>
  <c r="X26"/>
  <c r="AB26" s="1"/>
  <c r="X27"/>
  <c r="AB27" s="1"/>
  <c r="X28"/>
  <c r="AB28" s="1"/>
  <c r="X29"/>
  <c r="X30"/>
  <c r="AB30" s="1"/>
  <c r="X31"/>
  <c r="X32"/>
  <c r="AB32" s="1"/>
  <c r="X33"/>
  <c r="AB33" s="1"/>
  <c r="X34"/>
  <c r="X35"/>
  <c r="AB35" s="1"/>
  <c r="W20"/>
  <c r="W21"/>
  <c r="W22"/>
  <c r="W23"/>
  <c r="W24"/>
  <c r="W25"/>
  <c r="W26"/>
  <c r="W27"/>
  <c r="W28"/>
  <c r="W29"/>
  <c r="W30"/>
  <c r="W31"/>
  <c r="W32"/>
  <c r="W33"/>
  <c r="W34"/>
  <c r="W35"/>
  <c r="X19"/>
  <c r="W19"/>
  <c r="U19"/>
  <c r="AH52" l="1"/>
  <c r="AH53"/>
  <c r="Y36"/>
  <c r="Y35"/>
  <c r="Y34"/>
  <c r="AB34"/>
  <c r="Y33"/>
  <c r="Y32"/>
  <c r="Y31"/>
  <c r="AB31"/>
  <c r="Y30"/>
  <c r="Y29"/>
  <c r="AB29"/>
  <c r="Y28"/>
  <c r="Y27"/>
  <c r="Y26"/>
  <c r="Y25"/>
  <c r="Y24"/>
  <c r="Y23"/>
  <c r="AB23"/>
  <c r="Y22"/>
  <c r="Y21"/>
  <c r="Y20"/>
  <c r="X18"/>
  <c r="X49" s="1"/>
  <c r="W18" l="1"/>
  <c r="W49" s="1"/>
  <c r="C3" l="1"/>
  <c r="U35"/>
  <c r="U34"/>
  <c r="U33"/>
  <c r="U32"/>
  <c r="U31"/>
  <c r="U30"/>
  <c r="U29"/>
  <c r="U28"/>
  <c r="U27"/>
  <c r="U26"/>
  <c r="U25"/>
  <c r="U24"/>
  <c r="U23"/>
  <c r="U22"/>
  <c r="U21"/>
  <c r="U20"/>
  <c r="AB19"/>
  <c r="Y19"/>
  <c r="AB18"/>
  <c r="U18"/>
  <c r="U49" s="1"/>
  <c r="AB53" l="1"/>
  <c r="AB52"/>
  <c r="AA68"/>
  <c r="C4"/>
  <c r="E23" s="1"/>
  <c r="Y18"/>
  <c r="Y68" l="1"/>
  <c r="Y49"/>
  <c r="M45"/>
  <c r="AF45" s="1"/>
  <c r="M39"/>
  <c r="AF39" s="1"/>
  <c r="M35"/>
  <c r="AF35" s="1"/>
  <c r="E45"/>
  <c r="AA45" s="1"/>
  <c r="M44"/>
  <c r="AF44" s="1"/>
  <c r="E44"/>
  <c r="AA44" s="1"/>
  <c r="E38"/>
  <c r="AA38" s="1"/>
  <c r="E43"/>
  <c r="M41"/>
  <c r="AF41" s="1"/>
  <c r="M40"/>
  <c r="AF40" s="1"/>
  <c r="E40"/>
  <c r="N40" s="1"/>
  <c r="N45"/>
  <c r="AC44"/>
  <c r="AA43"/>
  <c r="M43"/>
  <c r="AF43" s="1"/>
  <c r="M38"/>
  <c r="AF38" s="1"/>
  <c r="M46"/>
  <c r="AF46" s="1"/>
  <c r="E39"/>
  <c r="E37"/>
  <c r="E42"/>
  <c r="M47"/>
  <c r="AF47" s="1"/>
  <c r="M37"/>
  <c r="M42"/>
  <c r="AF42" s="1"/>
  <c r="E47"/>
  <c r="E41"/>
  <c r="E46"/>
  <c r="E36"/>
  <c r="M33"/>
  <c r="AF33" s="1"/>
  <c r="M18"/>
  <c r="AF18" s="1"/>
  <c r="M27"/>
  <c r="AF27" s="1"/>
  <c r="M21"/>
  <c r="AF21" s="1"/>
  <c r="M34"/>
  <c r="AF34" s="1"/>
  <c r="M30"/>
  <c r="AF30" s="1"/>
  <c r="M25"/>
  <c r="AF25" s="1"/>
  <c r="M19"/>
  <c r="M22"/>
  <c r="AF22" s="1"/>
  <c r="M36"/>
  <c r="AF36" s="1"/>
  <c r="M32"/>
  <c r="AF32" s="1"/>
  <c r="M26"/>
  <c r="AF26" s="1"/>
  <c r="M23"/>
  <c r="AF23" s="1"/>
  <c r="M24"/>
  <c r="AF24" s="1"/>
  <c r="M20"/>
  <c r="AF20" s="1"/>
  <c r="M29"/>
  <c r="AF29" s="1"/>
  <c r="M28"/>
  <c r="AF28" s="1"/>
  <c r="M31"/>
  <c r="AF31" s="1"/>
  <c r="E29"/>
  <c r="E32"/>
  <c r="E26"/>
  <c r="E33"/>
  <c r="E27"/>
  <c r="E31"/>
  <c r="E30"/>
  <c r="E18"/>
  <c r="E24"/>
  <c r="E34"/>
  <c r="E19"/>
  <c r="E28"/>
  <c r="E25"/>
  <c r="E35"/>
  <c r="E20"/>
  <c r="E21"/>
  <c r="E22"/>
  <c r="AC23"/>
  <c r="AA23"/>
  <c r="N43" l="1"/>
  <c r="AC43"/>
  <c r="N18"/>
  <c r="E50"/>
  <c r="AC38"/>
  <c r="AA40"/>
  <c r="AC45"/>
  <c r="E52"/>
  <c r="E53"/>
  <c r="AF19"/>
  <c r="M53"/>
  <c r="M52"/>
  <c r="AC40"/>
  <c r="N44"/>
  <c r="N36"/>
  <c r="AC46"/>
  <c r="AA46"/>
  <c r="N46"/>
  <c r="N37"/>
  <c r="AF37"/>
  <c r="AC39"/>
  <c r="AA39"/>
  <c r="N39"/>
  <c r="AC37"/>
  <c r="AA37"/>
  <c r="AC47"/>
  <c r="AA47"/>
  <c r="N47"/>
  <c r="AC42"/>
  <c r="AA42"/>
  <c r="N42"/>
  <c r="AC41"/>
  <c r="AA41"/>
  <c r="N38"/>
  <c r="N41"/>
  <c r="AA36"/>
  <c r="AC36"/>
  <c r="AA24"/>
  <c r="N24"/>
  <c r="AC35"/>
  <c r="N35"/>
  <c r="AC34"/>
  <c r="N34"/>
  <c r="AA31"/>
  <c r="N31"/>
  <c r="AC32"/>
  <c r="N32"/>
  <c r="N23"/>
  <c r="AC22"/>
  <c r="N22"/>
  <c r="AA27"/>
  <c r="N27"/>
  <c r="AC19"/>
  <c r="N19"/>
  <c r="AC25"/>
  <c r="N25"/>
  <c r="AC29"/>
  <c r="N29"/>
  <c r="AA20"/>
  <c r="N20"/>
  <c r="AC30"/>
  <c r="N30"/>
  <c r="AC26"/>
  <c r="N26"/>
  <c r="AC21"/>
  <c r="N21"/>
  <c r="AA28"/>
  <c r="N28"/>
  <c r="AA33"/>
  <c r="N33"/>
  <c r="AC18"/>
  <c r="E49"/>
  <c r="AC24"/>
  <c r="AC28"/>
  <c r="AC27"/>
  <c r="AA18"/>
  <c r="AA34"/>
  <c r="AA35"/>
  <c r="AC31"/>
  <c r="AC33"/>
  <c r="AA25"/>
  <c r="AA32"/>
  <c r="AA29"/>
  <c r="AA26"/>
  <c r="AA22"/>
  <c r="AC20"/>
  <c r="AA19"/>
  <c r="AA30"/>
  <c r="AA21"/>
  <c r="AA52" l="1"/>
  <c r="AA53"/>
  <c r="AC53"/>
  <c r="AC52"/>
  <c r="N52"/>
  <c r="N53"/>
  <c r="AF52"/>
  <c r="AF53"/>
  <c r="AC68"/>
  <c r="AB68"/>
</calcChain>
</file>

<file path=xl/sharedStrings.xml><?xml version="1.0" encoding="utf-8"?>
<sst xmlns="http://schemas.openxmlformats.org/spreadsheetml/2006/main" count="138" uniqueCount="97">
  <si>
    <t>kg/l</t>
  </si>
  <si>
    <t>kJ/kg/degC</t>
  </si>
  <si>
    <t>Samsung Data @ 100% speed</t>
  </si>
  <si>
    <t>Calc comp speed from:</t>
  </si>
  <si>
    <t>Duty</t>
  </si>
  <si>
    <t>Power</t>
  </si>
  <si>
    <t>(degC)</t>
  </si>
  <si>
    <t>(l/min)</t>
  </si>
  <si>
    <t>(kW)</t>
  </si>
  <si>
    <t>Average</t>
  </si>
  <si>
    <t>Heat Pump Temps</t>
  </si>
  <si>
    <t>Inlet</t>
  </si>
  <si>
    <t>Outlet</t>
  </si>
  <si>
    <t>Buffer Tank Temps</t>
  </si>
  <si>
    <t>Calc ASHP</t>
  </si>
  <si>
    <t>ASHP</t>
  </si>
  <si>
    <t>Prim In</t>
  </si>
  <si>
    <t>Prim Out</t>
  </si>
  <si>
    <t>Secy Out</t>
  </si>
  <si>
    <t>Secy In</t>
  </si>
  <si>
    <t>Lounge Rad Temp</t>
  </si>
  <si>
    <t>In</t>
  </si>
  <si>
    <t>Out</t>
  </si>
  <si>
    <t>Lounge</t>
  </si>
  <si>
    <t>Temp</t>
  </si>
  <si>
    <t>Ambient</t>
  </si>
  <si>
    <t>Weather</t>
  </si>
  <si>
    <t>Comp Temp</t>
  </si>
  <si>
    <t>ASHP Test 01/02/2024</t>
  </si>
  <si>
    <t>Ext'l Walls</t>
  </si>
  <si>
    <t>Int'l walls</t>
  </si>
  <si>
    <t>Windows</t>
  </si>
  <si>
    <t>Floor</t>
  </si>
  <si>
    <t>Surrounding room temp</t>
  </si>
  <si>
    <t>degC</t>
  </si>
  <si>
    <t>Calc Rad</t>
  </si>
  <si>
    <t>Room</t>
  </si>
  <si>
    <t>Heating</t>
  </si>
  <si>
    <t>Note 1</t>
  </si>
  <si>
    <t>Tw1</t>
  </si>
  <si>
    <t>Tw2</t>
  </si>
  <si>
    <t>Circuit Flow</t>
  </si>
  <si>
    <t>Primary</t>
  </si>
  <si>
    <t>P</t>
  </si>
  <si>
    <t>T1</t>
  </si>
  <si>
    <t>T2</t>
  </si>
  <si>
    <t>t1</t>
  </si>
  <si>
    <t>t2</t>
  </si>
  <si>
    <t>tr1</t>
  </si>
  <si>
    <t>tr2</t>
  </si>
  <si>
    <t>TL</t>
  </si>
  <si>
    <t>TA</t>
  </si>
  <si>
    <t>Note 2</t>
  </si>
  <si>
    <t>Q (Note 1)</t>
  </si>
  <si>
    <t>r</t>
  </si>
  <si>
    <t>Cp</t>
  </si>
  <si>
    <t>TH</t>
  </si>
  <si>
    <t>Linear interpolation of 40degC @ 20degC ambient, 50degC @ -2degC ambient</t>
  </si>
  <si>
    <t>Note 3</t>
  </si>
  <si>
    <t>Secy Flow</t>
  </si>
  <si>
    <t>Calc CH</t>
  </si>
  <si>
    <t>Q' (Note 3)</t>
  </si>
  <si>
    <t>Note 4</t>
  </si>
  <si>
    <t>Note 5</t>
  </si>
  <si>
    <t>Note 6</t>
  </si>
  <si>
    <t>CoPs</t>
  </si>
  <si>
    <t>CoPm</t>
  </si>
  <si>
    <t>Curve fitted from Table 2-9 in Samsung EHS Data Book, then CoPs = ratio</t>
  </si>
  <si>
    <t>Prorated duty/power from Samsung table values, then CoPm = ratio</t>
  </si>
  <si>
    <t>Note 7</t>
  </si>
  <si>
    <t>From MCS U.A values and measured heat transfer areas</t>
  </si>
  <si>
    <t>Note 8</t>
  </si>
  <si>
    <t>V</t>
  </si>
  <si>
    <t>v (Note 2)</t>
  </si>
  <si>
    <t>Heat loss</t>
  </si>
  <si>
    <r>
      <t xml:space="preserve">From prorated radiator Vendor data: Q = design duty * (actual </t>
    </r>
    <r>
      <rPr>
        <sz val="11"/>
        <rFont val="Symbol"/>
        <family val="1"/>
        <charset val="2"/>
      </rPr>
      <t>D</t>
    </r>
    <r>
      <rPr>
        <sz val="11"/>
        <rFont val="Calibri"/>
        <family val="2"/>
        <scheme val="minor"/>
      </rPr>
      <t xml:space="preserve">t / design </t>
    </r>
    <r>
      <rPr>
        <sz val="11"/>
        <rFont val="Symbol"/>
        <family val="1"/>
        <charset val="2"/>
      </rPr>
      <t>D</t>
    </r>
    <r>
      <rPr>
        <sz val="11"/>
        <rFont val="Calibri"/>
        <family val="2"/>
        <scheme val="minor"/>
      </rPr>
      <t>t) ^ 1.3</t>
    </r>
  </si>
  <si>
    <t>Glycol density</t>
  </si>
  <si>
    <t>Glycol specific heat</t>
  </si>
  <si>
    <r>
      <t>From Q = V *</t>
    </r>
    <r>
      <rPr>
        <sz val="11"/>
        <rFont val="Symbol"/>
        <family val="1"/>
        <charset val="2"/>
      </rPr>
      <t xml:space="preserve"> r</t>
    </r>
    <r>
      <rPr>
        <sz val="11"/>
        <rFont val="Calibri"/>
        <family val="2"/>
        <scheme val="minor"/>
      </rPr>
      <t xml:space="preserve"> *Cp * (Tw2 - Tw1)</t>
    </r>
  </si>
  <si>
    <t>From heat balance on buffer tank: v = V * (T1 - T2) / (t1 - t2)</t>
  </si>
  <si>
    <r>
      <t xml:space="preserve">From Q' = v * </t>
    </r>
    <r>
      <rPr>
        <sz val="11"/>
        <rFont val="Symbol"/>
        <family val="1"/>
        <charset val="2"/>
      </rPr>
      <t>r</t>
    </r>
    <r>
      <rPr>
        <sz val="11"/>
        <rFont val="Calibri"/>
        <family val="2"/>
        <scheme val="minor"/>
      </rPr>
      <t xml:space="preserve"> * Cp * (t1 - t2)</t>
    </r>
  </si>
  <si>
    <t>Time from start (08:57)</t>
  </si>
  <si>
    <t>prim loop</t>
  </si>
  <si>
    <t>Output</t>
  </si>
  <si>
    <t>sec'y loop</t>
  </si>
  <si>
    <t>Est'd Room</t>
  </si>
  <si>
    <t>Heat Loss</t>
  </si>
  <si>
    <t>Std Dev</t>
  </si>
  <si>
    <t>Average excl stopped</t>
  </si>
  <si>
    <t>Std Dev excl stopped</t>
  </si>
  <si>
    <t>Ceiling ext'l</t>
  </si>
  <si>
    <t>Ceiling int'l</t>
  </si>
  <si>
    <t>Room heat losses (U.A):</t>
  </si>
  <si>
    <t>W/degC</t>
  </si>
  <si>
    <t>(min)</t>
  </si>
  <si>
    <t>Fitted internet data for 20% glycol</t>
  </si>
  <si>
    <t>Ditto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</si>
</sst>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65" fontId="3" fillId="0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9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/>
    <xf numFmtId="165" fontId="3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8"/>
  <sheetViews>
    <sheetView tabSelected="1" topLeftCell="A13" zoomScale="90" zoomScaleNormal="90" workbookViewId="0">
      <pane xSplit="18770" ySplit="1310" topLeftCell="S1" activePane="bottomLeft"/>
      <selection activeCell="Q2" sqref="Q2"/>
      <selection pane="bottomLeft"/>
      <selection pane="topRight" activeCell="S13" sqref="S13"/>
      <selection pane="bottomRight" activeCell="S9" sqref="S9"/>
    </sheetView>
  </sheetViews>
  <sheetFormatPr defaultRowHeight="14.5"/>
  <cols>
    <col min="1" max="1" width="23.36328125" customWidth="1"/>
    <col min="2" max="6" width="10.6328125" customWidth="1"/>
    <col min="7" max="7" width="3.54296875" customWidth="1"/>
    <col min="8" max="14" width="10.6328125" customWidth="1"/>
    <col min="15" max="15" width="3.54296875" customWidth="1"/>
    <col min="16" max="17" width="10.6328125" customWidth="1"/>
    <col min="18" max="18" width="3.453125" customWidth="1"/>
    <col min="19" max="21" width="10.6328125" customWidth="1"/>
    <col min="22" max="22" width="3.54296875" customWidth="1"/>
    <col min="23" max="25" width="10.6328125" customWidth="1"/>
    <col min="26" max="26" width="3.6328125" customWidth="1"/>
    <col min="27" max="29" width="10.6328125" customWidth="1"/>
    <col min="30" max="30" width="3.26953125" customWidth="1"/>
    <col min="31" max="31" width="10.6328125" style="3" customWidth="1"/>
    <col min="32" max="32" width="10.6328125" style="21" customWidth="1"/>
    <col min="33" max="33" width="10.6328125" style="22" customWidth="1"/>
    <col min="34" max="34" width="10.6328125" style="3" customWidth="1"/>
  </cols>
  <sheetData>
    <row r="1" spans="1:34" ht="15.5">
      <c r="A1" s="1" t="s">
        <v>28</v>
      </c>
    </row>
    <row r="2" spans="1:34" ht="15.5">
      <c r="A2" s="1"/>
      <c r="AE2" s="22"/>
      <c r="AF2" s="22"/>
      <c r="AH2" s="22"/>
    </row>
    <row r="3" spans="1:34">
      <c r="A3" t="s">
        <v>76</v>
      </c>
      <c r="B3" s="19" t="s">
        <v>54</v>
      </c>
      <c r="C3" s="2">
        <f>(1038-0.4*(B49+C49)/2)/1000</f>
        <v>1.0194621052631578</v>
      </c>
      <c r="D3" t="s">
        <v>0</v>
      </c>
      <c r="E3" t="s">
        <v>95</v>
      </c>
      <c r="AG3"/>
    </row>
    <row r="4" spans="1:34">
      <c r="A4" t="s">
        <v>77</v>
      </c>
      <c r="B4" s="12" t="s">
        <v>55</v>
      </c>
      <c r="C4" s="2">
        <f>0.0017*(B49+C49)/2+3.9176</f>
        <v>3.9963860526315793</v>
      </c>
      <c r="D4" t="s">
        <v>1</v>
      </c>
      <c r="E4" t="s">
        <v>96</v>
      </c>
      <c r="AF4" s="8"/>
      <c r="AH4" s="22"/>
    </row>
    <row r="5" spans="1:34">
      <c r="A5" t="s">
        <v>33</v>
      </c>
      <c r="B5" s="12" t="s">
        <v>56</v>
      </c>
      <c r="C5" s="6">
        <v>11</v>
      </c>
      <c r="D5" t="s">
        <v>34</v>
      </c>
      <c r="AF5" s="8"/>
    </row>
    <row r="6" spans="1:34">
      <c r="A6" t="s">
        <v>92</v>
      </c>
      <c r="B6" s="22"/>
      <c r="C6" s="6"/>
      <c r="AF6" s="8"/>
    </row>
    <row r="7" spans="1:34">
      <c r="A7" s="22" t="s">
        <v>29</v>
      </c>
      <c r="C7" s="27">
        <v>14.88</v>
      </c>
      <c r="D7" t="s">
        <v>93</v>
      </c>
      <c r="AF7" s="8"/>
    </row>
    <row r="8" spans="1:34">
      <c r="A8" s="22" t="s">
        <v>30</v>
      </c>
      <c r="C8" s="27">
        <v>54.56</v>
      </c>
      <c r="D8" t="s">
        <v>93</v>
      </c>
      <c r="AF8" s="8"/>
    </row>
    <row r="9" spans="1:34">
      <c r="A9" s="22" t="s">
        <v>31</v>
      </c>
      <c r="C9" s="27">
        <v>21</v>
      </c>
      <c r="D9" t="s">
        <v>93</v>
      </c>
      <c r="AF9" s="8"/>
    </row>
    <row r="10" spans="1:34">
      <c r="A10" s="22" t="s">
        <v>32</v>
      </c>
      <c r="C10" s="27">
        <v>37.15</v>
      </c>
      <c r="D10" t="s">
        <v>93</v>
      </c>
    </row>
    <row r="11" spans="1:34">
      <c r="A11" s="22" t="s">
        <v>91</v>
      </c>
      <c r="C11" s="27">
        <v>31.93</v>
      </c>
      <c r="D11" t="s">
        <v>93</v>
      </c>
    </row>
    <row r="12" spans="1:34">
      <c r="A12" s="22" t="s">
        <v>90</v>
      </c>
      <c r="C12" s="27">
        <v>23.95</v>
      </c>
      <c r="D12" t="s">
        <v>93</v>
      </c>
    </row>
    <row r="13" spans="1:34">
      <c r="B13" s="2"/>
    </row>
    <row r="14" spans="1:34">
      <c r="A14" s="22" t="s">
        <v>81</v>
      </c>
      <c r="B14" s="23" t="s">
        <v>10</v>
      </c>
      <c r="C14" s="23"/>
      <c r="D14" s="12" t="s">
        <v>42</v>
      </c>
      <c r="E14" s="3" t="s">
        <v>14</v>
      </c>
      <c r="F14" s="3" t="s">
        <v>15</v>
      </c>
      <c r="H14" s="23" t="s">
        <v>13</v>
      </c>
      <c r="I14" s="23"/>
      <c r="J14" s="23"/>
      <c r="K14" s="23"/>
      <c r="L14" s="12"/>
      <c r="M14" s="12" t="s">
        <v>60</v>
      </c>
      <c r="N14" s="22" t="s">
        <v>74</v>
      </c>
      <c r="P14" s="23" t="s">
        <v>20</v>
      </c>
      <c r="Q14" s="23"/>
      <c r="R14" s="3"/>
      <c r="S14" s="3" t="s">
        <v>23</v>
      </c>
      <c r="T14" s="3" t="s">
        <v>25</v>
      </c>
      <c r="U14" s="3" t="s">
        <v>26</v>
      </c>
      <c r="W14" s="23" t="s">
        <v>2</v>
      </c>
      <c r="X14" s="23"/>
      <c r="Y14" s="23"/>
      <c r="AA14" s="23" t="s">
        <v>3</v>
      </c>
      <c r="AB14" s="23"/>
      <c r="AC14" s="3"/>
      <c r="AE14" s="3" t="s">
        <v>35</v>
      </c>
      <c r="AF14" s="22" t="s">
        <v>74</v>
      </c>
      <c r="AG14" s="22" t="s">
        <v>85</v>
      </c>
      <c r="AH14" s="3" t="s">
        <v>36</v>
      </c>
    </row>
    <row r="15" spans="1:34">
      <c r="B15" s="3" t="s">
        <v>11</v>
      </c>
      <c r="C15" s="4" t="s">
        <v>12</v>
      </c>
      <c r="D15" s="12" t="s">
        <v>41</v>
      </c>
      <c r="E15" s="3" t="s">
        <v>4</v>
      </c>
      <c r="F15" s="3" t="s">
        <v>5</v>
      </c>
      <c r="G15" s="3"/>
      <c r="H15" s="3" t="s">
        <v>16</v>
      </c>
      <c r="I15" s="3" t="s">
        <v>17</v>
      </c>
      <c r="J15" s="3" t="s">
        <v>18</v>
      </c>
      <c r="K15" s="3" t="s">
        <v>19</v>
      </c>
      <c r="L15" s="12" t="s">
        <v>59</v>
      </c>
      <c r="M15" s="12" t="s">
        <v>4</v>
      </c>
      <c r="N15" s="22" t="s">
        <v>82</v>
      </c>
      <c r="O15" s="3"/>
      <c r="P15" s="3" t="s">
        <v>21</v>
      </c>
      <c r="Q15" s="3" t="s">
        <v>22</v>
      </c>
      <c r="R15" s="3"/>
      <c r="S15" s="3" t="s">
        <v>24</v>
      </c>
      <c r="T15" s="3" t="s">
        <v>24</v>
      </c>
      <c r="U15" s="3" t="s">
        <v>27</v>
      </c>
      <c r="V15" s="3"/>
      <c r="W15" s="3" t="s">
        <v>4</v>
      </c>
      <c r="X15" s="3" t="s">
        <v>5</v>
      </c>
      <c r="Y15" s="16" t="s">
        <v>65</v>
      </c>
      <c r="AA15" s="3" t="s">
        <v>4</v>
      </c>
      <c r="AB15" s="3" t="s">
        <v>5</v>
      </c>
      <c r="AC15" s="16" t="s">
        <v>66</v>
      </c>
      <c r="AE15" s="22" t="s">
        <v>83</v>
      </c>
      <c r="AF15" s="22" t="s">
        <v>84</v>
      </c>
      <c r="AG15" s="22" t="s">
        <v>86</v>
      </c>
      <c r="AH15" s="3" t="s">
        <v>37</v>
      </c>
    </row>
    <row r="16" spans="1:34">
      <c r="A16" s="22" t="s">
        <v>94</v>
      </c>
      <c r="B16" s="3" t="s">
        <v>6</v>
      </c>
      <c r="C16" s="4" t="s">
        <v>6</v>
      </c>
      <c r="D16" s="3" t="s">
        <v>7</v>
      </c>
      <c r="E16" s="3" t="s">
        <v>8</v>
      </c>
      <c r="F16" s="3" t="s">
        <v>8</v>
      </c>
      <c r="G16" s="3"/>
      <c r="H16" s="3" t="s">
        <v>6</v>
      </c>
      <c r="I16" s="3" t="s">
        <v>6</v>
      </c>
      <c r="J16" s="3" t="s">
        <v>6</v>
      </c>
      <c r="K16" s="3" t="s">
        <v>6</v>
      </c>
      <c r="L16" s="12" t="s">
        <v>7</v>
      </c>
      <c r="M16" s="12" t="s">
        <v>8</v>
      </c>
      <c r="N16" s="22" t="s">
        <v>8</v>
      </c>
      <c r="O16" s="3"/>
      <c r="P16" s="3" t="s">
        <v>6</v>
      </c>
      <c r="Q16" s="3" t="s">
        <v>6</v>
      </c>
      <c r="R16" s="3"/>
      <c r="S16" s="3" t="s">
        <v>6</v>
      </c>
      <c r="T16" s="3" t="s">
        <v>6</v>
      </c>
      <c r="U16" s="3" t="s">
        <v>6</v>
      </c>
      <c r="V16" s="3"/>
      <c r="W16" s="3" t="s">
        <v>8</v>
      </c>
      <c r="X16" s="3" t="s">
        <v>8</v>
      </c>
      <c r="AE16" s="22" t="s">
        <v>8</v>
      </c>
      <c r="AF16" s="22" t="s">
        <v>8</v>
      </c>
      <c r="AG16" s="22" t="s">
        <v>8</v>
      </c>
      <c r="AH16" s="22" t="s">
        <v>8</v>
      </c>
    </row>
    <row r="17" spans="1:34">
      <c r="A17" s="3"/>
      <c r="B17" s="12" t="s">
        <v>39</v>
      </c>
      <c r="C17" s="4" t="s">
        <v>40</v>
      </c>
      <c r="D17" s="22" t="s">
        <v>72</v>
      </c>
      <c r="E17" s="12" t="s">
        <v>53</v>
      </c>
      <c r="F17" s="12" t="s">
        <v>43</v>
      </c>
      <c r="G17" s="3"/>
      <c r="H17" s="12" t="s">
        <v>44</v>
      </c>
      <c r="I17" s="12" t="s">
        <v>45</v>
      </c>
      <c r="J17" s="12" t="s">
        <v>46</v>
      </c>
      <c r="K17" s="12" t="s">
        <v>47</v>
      </c>
      <c r="L17" s="22" t="s">
        <v>73</v>
      </c>
      <c r="M17" s="12" t="s">
        <v>61</v>
      </c>
      <c r="N17" s="22"/>
      <c r="O17" s="3"/>
      <c r="P17" s="12" t="s">
        <v>48</v>
      </c>
      <c r="Q17" s="12" t="s">
        <v>49</v>
      </c>
      <c r="R17" s="3"/>
      <c r="S17" s="12" t="s">
        <v>50</v>
      </c>
      <c r="T17" s="12" t="s">
        <v>51</v>
      </c>
      <c r="U17" s="12" t="s">
        <v>62</v>
      </c>
      <c r="V17" s="3"/>
      <c r="W17" s="12" t="s">
        <v>63</v>
      </c>
      <c r="X17" s="12" t="s">
        <v>63</v>
      </c>
      <c r="Y17" s="16" t="s">
        <v>63</v>
      </c>
      <c r="AA17" s="16" t="s">
        <v>64</v>
      </c>
      <c r="AB17" s="16" t="s">
        <v>64</v>
      </c>
      <c r="AC17" s="16" t="s">
        <v>64</v>
      </c>
      <c r="AE17" s="22" t="s">
        <v>69</v>
      </c>
      <c r="AG17" s="22" t="s">
        <v>71</v>
      </c>
    </row>
    <row r="18" spans="1:34">
      <c r="A18" s="6">
        <v>0.37291666666666662</v>
      </c>
      <c r="B18" s="6">
        <v>45</v>
      </c>
      <c r="C18" s="7">
        <v>46.3</v>
      </c>
      <c r="D18" s="7">
        <v>28.9</v>
      </c>
      <c r="E18" s="8">
        <f t="shared" ref="E18:E47" si="0">D18*$C$3*$C$4*(C18-B18)/60</f>
        <v>2.5511057781576674</v>
      </c>
      <c r="F18" s="29">
        <v>0.2</v>
      </c>
      <c r="G18" s="7"/>
      <c r="H18" s="7">
        <v>45</v>
      </c>
      <c r="I18" s="7">
        <v>41.7</v>
      </c>
      <c r="J18" s="7">
        <v>44.9</v>
      </c>
      <c r="K18" s="7">
        <v>43.1</v>
      </c>
      <c r="L18" s="20">
        <f>D18*(H18-I18)/(J18-K18)</f>
        <v>52.98333333333337</v>
      </c>
      <c r="M18" s="13">
        <f>L18*$C$3*$C$4*(J18-K18)/60</f>
        <v>6.47588389840024</v>
      </c>
      <c r="N18" s="13">
        <f>E18-M18</f>
        <v>-3.9247781202425727</v>
      </c>
      <c r="O18" s="7"/>
      <c r="P18" s="7">
        <v>44.4</v>
      </c>
      <c r="Q18" s="7">
        <v>43</v>
      </c>
      <c r="R18" s="7"/>
      <c r="S18" s="7">
        <v>20.100000000000001</v>
      </c>
      <c r="T18" s="7">
        <v>2.7</v>
      </c>
      <c r="U18" s="4">
        <f>49.09-0.4545*T18</f>
        <v>47.862850000000002</v>
      </c>
      <c r="V18" s="4"/>
      <c r="W18" s="13">
        <f>0.06*T18+8.28</f>
        <v>8.4420000000000002</v>
      </c>
      <c r="X18" s="8">
        <f>(0.0204*H18+1.676)+(0.0048*H18-0.268)*T18</f>
        <v>2.4535999999999998</v>
      </c>
      <c r="Y18" s="8">
        <f>W18/X18</f>
        <v>3.4406586240626025</v>
      </c>
      <c r="AA18" s="9">
        <f t="shared" ref="AA18:AA37" si="1">E18/W18</f>
        <v>0.30219210828685944</v>
      </c>
      <c r="AB18" s="9">
        <f t="shared" ref="AB18:AB37" si="2">F18/X18</f>
        <v>8.151287903488752E-2</v>
      </c>
      <c r="AC18" s="8">
        <f>E18/F18</f>
        <v>12.755528890788336</v>
      </c>
      <c r="AD18" s="28"/>
      <c r="AE18" s="8">
        <f>(34.8*((P18+Q18)/2-S18)^1.3)/1000</f>
        <v>2.1201415036037163</v>
      </c>
      <c r="AF18" s="8">
        <f>M18-AE18</f>
        <v>4.3557423947965237</v>
      </c>
      <c r="AG18" s="8">
        <f>(($C$7+$C$9+$C$12)*(S18-T18)+($C$8+$C$10+$C$11)*(S18-$C$5))/1000</f>
        <v>2.166166</v>
      </c>
      <c r="AH18" s="8">
        <f>AE18-AG18</f>
        <v>-4.6024496396283698E-2</v>
      </c>
    </row>
    <row r="19" spans="1:34">
      <c r="A19" s="6">
        <v>2</v>
      </c>
      <c r="B19" s="6">
        <v>45</v>
      </c>
      <c r="C19" s="7">
        <v>47.1</v>
      </c>
      <c r="D19" s="7">
        <v>28.9</v>
      </c>
      <c r="E19" s="8">
        <f t="shared" si="0"/>
        <v>4.1210170262547043</v>
      </c>
      <c r="F19" s="7">
        <v>2.2000000000000002</v>
      </c>
      <c r="G19" s="7"/>
      <c r="H19" s="7">
        <v>46.6</v>
      </c>
      <c r="I19" s="7">
        <v>44.9</v>
      </c>
      <c r="J19" s="7">
        <v>45.7</v>
      </c>
      <c r="K19" s="7">
        <v>42.5</v>
      </c>
      <c r="L19" s="20">
        <f t="shared" ref="L19:L38" si="3">D19*(H19-I19)/(J19-K19)</f>
        <v>15.353125000000011</v>
      </c>
      <c r="M19" s="13">
        <f t="shared" ref="M19:M38" si="4">L19*$C$3*$C$4*(J19-K19)/60</f>
        <v>3.3360614022061927</v>
      </c>
      <c r="N19" s="13">
        <f t="shared" ref="N19:N38" si="5">E19-M19</f>
        <v>0.7849556240485116</v>
      </c>
      <c r="O19" s="7"/>
      <c r="P19" s="7">
        <v>45.2</v>
      </c>
      <c r="Q19" s="7">
        <v>42.7</v>
      </c>
      <c r="R19" s="7"/>
      <c r="S19" s="7">
        <v>20.2</v>
      </c>
      <c r="T19" s="7">
        <v>2.8</v>
      </c>
      <c r="U19" s="4">
        <f>49.09-0.4545*T19</f>
        <v>47.817400000000006</v>
      </c>
      <c r="V19" s="4"/>
      <c r="W19" s="13">
        <f>0.06*T19+8.28</f>
        <v>8.4479999999999986</v>
      </c>
      <c r="X19" s="8">
        <f>(0.0204*H19+1.676)+(0.0048*H19-0.268)*T19</f>
        <v>2.5025439999999999</v>
      </c>
      <c r="Y19" s="8">
        <f t="shared" ref="Y19:Y37" si="6">W19/X19</f>
        <v>3.3757648217174201</v>
      </c>
      <c r="AA19" s="9">
        <f t="shared" si="1"/>
        <v>0.48780978056992247</v>
      </c>
      <c r="AB19" s="9">
        <f t="shared" si="2"/>
        <v>0.87910542232224498</v>
      </c>
      <c r="AC19" s="8">
        <f t="shared" ref="AC19:AC38" si="7">E19/F19</f>
        <v>1.8731895573885018</v>
      </c>
      <c r="AD19" s="28"/>
      <c r="AE19" s="8">
        <f t="shared" ref="AE19:AE37" si="8">(34.8*((P19+Q19)/2-S19)^1.3)/1000</f>
        <v>2.1376762988530191</v>
      </c>
      <c r="AF19" s="8">
        <f>M19-AE19</f>
        <v>1.1983851033531736</v>
      </c>
      <c r="AG19" s="8">
        <f>(($C$7+$C$9+$C$12)*(S19-T19)+($C$8+$C$10+$C$11)*(S19-$C$5))/1000</f>
        <v>2.1785299999999999</v>
      </c>
      <c r="AH19" s="8">
        <f t="shared" ref="AH19:AH37" si="9">AE19-AG19</f>
        <v>-4.0853701146980725E-2</v>
      </c>
    </row>
    <row r="20" spans="1:34">
      <c r="A20" s="6">
        <v>5</v>
      </c>
      <c r="B20" s="6">
        <v>45</v>
      </c>
      <c r="C20" s="7">
        <v>47.1</v>
      </c>
      <c r="D20" s="7">
        <v>28.7</v>
      </c>
      <c r="E20" s="8">
        <f t="shared" si="0"/>
        <v>4.0924978772840843</v>
      </c>
      <c r="F20" s="7">
        <v>1.8</v>
      </c>
      <c r="G20" s="7"/>
      <c r="H20" s="7">
        <v>46.4</v>
      </c>
      <c r="I20" s="7">
        <v>44.9</v>
      </c>
      <c r="J20" s="7">
        <v>45.8</v>
      </c>
      <c r="K20" s="7">
        <v>42.4</v>
      </c>
      <c r="L20" s="20">
        <f t="shared" si="3"/>
        <v>12.661764705882357</v>
      </c>
      <c r="M20" s="25">
        <f t="shared" si="4"/>
        <v>2.9232127694886292</v>
      </c>
      <c r="N20" s="13">
        <f t="shared" si="5"/>
        <v>1.1692851077954551</v>
      </c>
      <c r="O20" s="7"/>
      <c r="P20" s="7">
        <v>45.3</v>
      </c>
      <c r="Q20" s="7">
        <v>42.7</v>
      </c>
      <c r="R20" s="7"/>
      <c r="S20" s="7">
        <v>20.2</v>
      </c>
      <c r="T20" s="7">
        <v>2.8</v>
      </c>
      <c r="U20" s="4">
        <f t="shared" ref="U20:U37" si="10">49.09-0.4545*T20</f>
        <v>47.817400000000006</v>
      </c>
      <c r="V20" s="4"/>
      <c r="W20" s="13">
        <f t="shared" ref="W20:W37" si="11">0.06*T20+8.28</f>
        <v>8.4479999999999986</v>
      </c>
      <c r="X20" s="8">
        <f t="shared" ref="X20:X37" si="12">(0.0204*H20+1.676)+(0.0048*H20-0.268)*T20</f>
        <v>2.4957759999999998</v>
      </c>
      <c r="Y20" s="8">
        <f t="shared" si="6"/>
        <v>3.384919159411742</v>
      </c>
      <c r="AA20" s="9">
        <f t="shared" si="1"/>
        <v>0.48443393433760473</v>
      </c>
      <c r="AB20" s="9">
        <f t="shared" si="2"/>
        <v>0.72121857089738828</v>
      </c>
      <c r="AC20" s="8">
        <f t="shared" si="7"/>
        <v>2.2736099318244913</v>
      </c>
      <c r="AD20" s="28"/>
      <c r="AE20" s="26">
        <f t="shared" si="8"/>
        <v>2.1435286279691894</v>
      </c>
      <c r="AF20" s="26">
        <f>M20-AE20</f>
        <v>0.77968414151943977</v>
      </c>
      <c r="AG20" s="26">
        <f>(($C$7+$C$9+$C$12)*(S20-T20)+($C$8+$C$10+$C$11)*(S20-$C$5))/1000</f>
        <v>2.1785299999999999</v>
      </c>
      <c r="AH20" s="8">
        <f t="shared" si="9"/>
        <v>-3.500137203081044E-2</v>
      </c>
    </row>
    <row r="21" spans="1:34">
      <c r="A21" s="6">
        <v>7</v>
      </c>
      <c r="B21" s="6">
        <v>45</v>
      </c>
      <c r="C21" s="7">
        <v>47.3</v>
      </c>
      <c r="D21" s="7">
        <v>28.5</v>
      </c>
      <c r="E21" s="8">
        <f t="shared" si="0"/>
        <v>4.4510243214861651</v>
      </c>
      <c r="F21" s="7">
        <v>1.5</v>
      </c>
      <c r="G21" s="7"/>
      <c r="H21" s="7">
        <v>46.8</v>
      </c>
      <c r="I21" s="7">
        <v>45</v>
      </c>
      <c r="J21" s="7">
        <v>46</v>
      </c>
      <c r="K21" s="7">
        <v>42.5</v>
      </c>
      <c r="L21" s="20">
        <f t="shared" si="3"/>
        <v>14.657142857142833</v>
      </c>
      <c r="M21" s="13">
        <f t="shared" si="4"/>
        <v>3.4834103385543895</v>
      </c>
      <c r="N21" s="13">
        <f t="shared" si="5"/>
        <v>0.96761398293177558</v>
      </c>
      <c r="O21" s="7"/>
      <c r="P21" s="7">
        <v>45.6</v>
      </c>
      <c r="Q21" s="7">
        <v>42.9</v>
      </c>
      <c r="R21" s="7"/>
      <c r="S21" s="7">
        <v>20.2</v>
      </c>
      <c r="T21" s="7">
        <v>2.8</v>
      </c>
      <c r="U21" s="4">
        <f t="shared" si="10"/>
        <v>47.817400000000006</v>
      </c>
      <c r="V21" s="4"/>
      <c r="W21" s="13">
        <f t="shared" si="11"/>
        <v>8.4479999999999986</v>
      </c>
      <c r="X21" s="8">
        <f t="shared" si="12"/>
        <v>2.509312</v>
      </c>
      <c r="Y21" s="8">
        <f t="shared" si="6"/>
        <v>3.3666598653336051</v>
      </c>
      <c r="AA21" s="9">
        <f t="shared" si="1"/>
        <v>0.52687314411531316</v>
      </c>
      <c r="AB21" s="9">
        <f t="shared" si="2"/>
        <v>0.59777341358906344</v>
      </c>
      <c r="AC21" s="8">
        <f t="shared" si="7"/>
        <v>2.9673495476574434</v>
      </c>
      <c r="AD21" s="28"/>
      <c r="AE21" s="8">
        <f t="shared" si="8"/>
        <v>2.1728455096277868</v>
      </c>
      <c r="AF21" s="8">
        <f>M21-AE21</f>
        <v>1.3105648289266028</v>
      </c>
      <c r="AG21" s="8">
        <f>(($C$7+$C$9+$C$12)*(S21-T21)+($C$8+$C$10+$C$11)*(S21-$C$5))/1000</f>
        <v>2.1785299999999999</v>
      </c>
      <c r="AH21" s="8">
        <f t="shared" si="9"/>
        <v>-5.6844903722130802E-3</v>
      </c>
    </row>
    <row r="22" spans="1:34">
      <c r="A22" s="6">
        <v>10</v>
      </c>
      <c r="B22" s="6">
        <v>45</v>
      </c>
      <c r="C22" s="7">
        <v>47.5</v>
      </c>
      <c r="D22" s="7">
        <v>28.5</v>
      </c>
      <c r="E22" s="8">
        <f t="shared" si="0"/>
        <v>4.8380699146588819</v>
      </c>
      <c r="F22" s="7">
        <v>1.6</v>
      </c>
      <c r="G22" s="7"/>
      <c r="H22" s="7">
        <v>47.1</v>
      </c>
      <c r="I22" s="7">
        <v>45.3</v>
      </c>
      <c r="J22" s="7">
        <v>46.3</v>
      </c>
      <c r="K22" s="7">
        <v>42.6</v>
      </c>
      <c r="L22" s="20">
        <f t="shared" si="3"/>
        <v>13.864864864864915</v>
      </c>
      <c r="M22" s="13">
        <f t="shared" si="4"/>
        <v>3.4834103385544037</v>
      </c>
      <c r="N22" s="13">
        <f t="shared" si="5"/>
        <v>1.3546595761044782</v>
      </c>
      <c r="O22" s="7"/>
      <c r="P22" s="7">
        <v>45.8</v>
      </c>
      <c r="Q22" s="7">
        <v>43.1</v>
      </c>
      <c r="R22" s="7"/>
      <c r="S22" s="7">
        <v>20.2</v>
      </c>
      <c r="T22" s="7">
        <v>2.8</v>
      </c>
      <c r="U22" s="4">
        <f t="shared" si="10"/>
        <v>47.817400000000006</v>
      </c>
      <c r="V22" s="4"/>
      <c r="W22" s="13">
        <f t="shared" si="11"/>
        <v>8.4479999999999986</v>
      </c>
      <c r="X22" s="8">
        <f t="shared" si="12"/>
        <v>2.5194640000000001</v>
      </c>
      <c r="Y22" s="8">
        <f t="shared" si="6"/>
        <v>3.3530941501843241</v>
      </c>
      <c r="AA22" s="9">
        <f t="shared" si="1"/>
        <v>0.57268820012534127</v>
      </c>
      <c r="AB22" s="9">
        <f t="shared" si="2"/>
        <v>0.63505571026218277</v>
      </c>
      <c r="AC22" s="8">
        <f t="shared" si="7"/>
        <v>3.0237936966618011</v>
      </c>
      <c r="AD22" s="28"/>
      <c r="AE22" s="8">
        <f t="shared" si="8"/>
        <v>2.1963649764282893</v>
      </c>
      <c r="AF22" s="8">
        <f>M22-AE22</f>
        <v>1.2870453621261144</v>
      </c>
      <c r="AG22" s="8">
        <f>(($C$7+$C$9+$C$12)*(S22-T22)+($C$8+$C$10+$C$11)*(S22-$C$5))/1000</f>
        <v>2.1785299999999999</v>
      </c>
      <c r="AH22" s="8">
        <f t="shared" si="9"/>
        <v>1.7834976428289462E-2</v>
      </c>
    </row>
    <row r="23" spans="1:34">
      <c r="A23" s="6">
        <v>12</v>
      </c>
      <c r="B23" s="6">
        <v>45</v>
      </c>
      <c r="C23" s="7">
        <v>47.7</v>
      </c>
      <c r="D23" s="7">
        <v>28.5</v>
      </c>
      <c r="E23" s="8">
        <f t="shared" si="0"/>
        <v>5.2251155078315978</v>
      </c>
      <c r="F23" s="7">
        <v>1.7</v>
      </c>
      <c r="G23" s="7"/>
      <c r="H23" s="7">
        <v>47</v>
      </c>
      <c r="I23" s="10">
        <v>45.4</v>
      </c>
      <c r="J23" s="10">
        <v>46.3</v>
      </c>
      <c r="K23" s="7">
        <v>42.7</v>
      </c>
      <c r="L23" s="20">
        <f t="shared" si="3"/>
        <v>12.666666666666696</v>
      </c>
      <c r="M23" s="13">
        <f t="shared" si="4"/>
        <v>3.0963647453816865</v>
      </c>
      <c r="N23" s="13">
        <f t="shared" si="5"/>
        <v>2.1287507624499113</v>
      </c>
      <c r="O23" s="7"/>
      <c r="P23" s="7">
        <v>46.6</v>
      </c>
      <c r="Q23" s="7">
        <v>43.2</v>
      </c>
      <c r="R23" s="7"/>
      <c r="S23" s="7">
        <v>20.2</v>
      </c>
      <c r="T23" s="7">
        <v>2.8</v>
      </c>
      <c r="U23" s="4">
        <f t="shared" si="10"/>
        <v>47.817400000000006</v>
      </c>
      <c r="V23" s="4"/>
      <c r="W23" s="13">
        <f t="shared" si="11"/>
        <v>8.4479999999999986</v>
      </c>
      <c r="X23" s="8">
        <f t="shared" si="12"/>
        <v>2.5160800000000001</v>
      </c>
      <c r="Y23" s="8">
        <f t="shared" si="6"/>
        <v>3.3576038917681466</v>
      </c>
      <c r="AA23" s="9">
        <f t="shared" si="1"/>
        <v>0.61850325613536916</v>
      </c>
      <c r="AB23" s="9">
        <f t="shared" si="2"/>
        <v>0.67565419223554091</v>
      </c>
      <c r="AC23" s="8">
        <f t="shared" si="7"/>
        <v>3.0735973575479987</v>
      </c>
      <c r="AD23" s="28"/>
      <c r="AE23" s="8">
        <f t="shared" si="8"/>
        <v>2.2494963000778858</v>
      </c>
      <c r="AF23" s="8">
        <f>M23-AE23</f>
        <v>0.84686844530380068</v>
      </c>
      <c r="AG23" s="8">
        <f>(($C$7+$C$9+$C$12)*(S23-T23)+($C$8+$C$10+$C$11)*(S23-$C$5))/1000</f>
        <v>2.1785299999999999</v>
      </c>
      <c r="AH23" s="8">
        <f t="shared" si="9"/>
        <v>7.0966300077885958E-2</v>
      </c>
    </row>
    <row r="24" spans="1:34">
      <c r="A24" s="6">
        <v>14</v>
      </c>
      <c r="B24" s="6">
        <v>45</v>
      </c>
      <c r="C24" s="7">
        <v>47.7</v>
      </c>
      <c r="D24" s="7">
        <v>28.5</v>
      </c>
      <c r="E24" s="8">
        <f t="shared" si="0"/>
        <v>5.2251155078315978</v>
      </c>
      <c r="F24" s="7">
        <v>1.7</v>
      </c>
      <c r="G24" s="7"/>
      <c r="H24" s="7">
        <v>47.4</v>
      </c>
      <c r="I24" s="10">
        <v>45.6</v>
      </c>
      <c r="J24" s="10">
        <v>46.7</v>
      </c>
      <c r="K24" s="7">
        <v>42.9</v>
      </c>
      <c r="L24" s="20">
        <f t="shared" si="3"/>
        <v>13.499999999999963</v>
      </c>
      <c r="M24" s="13">
        <f t="shared" si="4"/>
        <v>3.4834103385543886</v>
      </c>
      <c r="N24" s="13">
        <f t="shared" si="5"/>
        <v>1.7417051692772092</v>
      </c>
      <c r="O24" s="7"/>
      <c r="P24" s="7">
        <v>46.2</v>
      </c>
      <c r="Q24" s="7">
        <v>43.4</v>
      </c>
      <c r="R24" s="7"/>
      <c r="S24" s="7">
        <v>20.3</v>
      </c>
      <c r="T24" s="7">
        <v>2.8</v>
      </c>
      <c r="U24" s="4">
        <f t="shared" si="10"/>
        <v>47.817400000000006</v>
      </c>
      <c r="V24" s="4"/>
      <c r="W24" s="13">
        <f t="shared" si="11"/>
        <v>8.4479999999999986</v>
      </c>
      <c r="X24" s="8">
        <f t="shared" si="12"/>
        <v>2.5296159999999999</v>
      </c>
      <c r="Y24" s="8">
        <f t="shared" si="6"/>
        <v>3.3396373204470557</v>
      </c>
      <c r="AA24" s="9">
        <f t="shared" si="1"/>
        <v>0.61850325613536916</v>
      </c>
      <c r="AB24" s="9">
        <f t="shared" si="2"/>
        <v>0.67203876003314333</v>
      </c>
      <c r="AC24" s="8">
        <f t="shared" si="7"/>
        <v>3.0735973575479987</v>
      </c>
      <c r="AD24" s="28"/>
      <c r="AE24" s="8">
        <f t="shared" si="8"/>
        <v>2.2258462059886419</v>
      </c>
      <c r="AF24" s="8">
        <f>M24-AE24</f>
        <v>1.2575641325657467</v>
      </c>
      <c r="AG24" s="8">
        <f>(($C$7+$C$9+$C$12)*(S24-T24)+($C$8+$C$10+$C$11)*(S24-$C$5))/1000</f>
        <v>2.1968770000000002</v>
      </c>
      <c r="AH24" s="8">
        <f t="shared" si="9"/>
        <v>2.8969205988641722E-2</v>
      </c>
    </row>
    <row r="25" spans="1:34">
      <c r="A25" s="6">
        <v>16</v>
      </c>
      <c r="B25" s="15">
        <v>45</v>
      </c>
      <c r="C25" s="7">
        <v>47.8</v>
      </c>
      <c r="D25" s="10">
        <v>28.7</v>
      </c>
      <c r="E25" s="8">
        <f t="shared" si="0"/>
        <v>5.4566638363787696</v>
      </c>
      <c r="F25" s="10">
        <v>1.7</v>
      </c>
      <c r="G25" s="10"/>
      <c r="H25" s="10">
        <v>47.7</v>
      </c>
      <c r="I25" s="10">
        <v>45.8</v>
      </c>
      <c r="J25" s="10">
        <v>46.9</v>
      </c>
      <c r="K25" s="10">
        <v>43.1</v>
      </c>
      <c r="L25" s="20">
        <f t="shared" si="3"/>
        <v>14.350000000000055</v>
      </c>
      <c r="M25" s="13">
        <f t="shared" si="4"/>
        <v>3.7027361746856089</v>
      </c>
      <c r="N25" s="13">
        <f t="shared" si="5"/>
        <v>1.7539276616931607</v>
      </c>
      <c r="O25" s="10"/>
      <c r="P25" s="10">
        <v>46.4</v>
      </c>
      <c r="Q25" s="10">
        <v>43.6</v>
      </c>
      <c r="R25" s="10"/>
      <c r="S25" s="10">
        <v>20.2</v>
      </c>
      <c r="T25" s="10">
        <v>2.9</v>
      </c>
      <c r="U25" s="4">
        <f t="shared" si="10"/>
        <v>47.771950000000004</v>
      </c>
      <c r="V25" s="4"/>
      <c r="W25" s="13">
        <f t="shared" si="11"/>
        <v>8.4539999999999988</v>
      </c>
      <c r="X25" s="8">
        <f t="shared" si="12"/>
        <v>2.5358640000000001</v>
      </c>
      <c r="Y25" s="8">
        <f t="shared" si="6"/>
        <v>3.3337749973973363</v>
      </c>
      <c r="AA25" s="9">
        <f t="shared" si="1"/>
        <v>0.64545349377558203</v>
      </c>
      <c r="AB25" s="9">
        <f t="shared" si="2"/>
        <v>0.67038295429092409</v>
      </c>
      <c r="AC25" s="8">
        <f t="shared" si="7"/>
        <v>3.2098022566933939</v>
      </c>
      <c r="AD25" s="28"/>
      <c r="AE25" s="8">
        <f t="shared" si="8"/>
        <v>2.2613429374603062</v>
      </c>
      <c r="AF25" s="8">
        <f>M25-AE25</f>
        <v>1.4413932372253027</v>
      </c>
      <c r="AG25" s="8">
        <f>(($C$7+$C$9+$C$12)*(S25-T25)+($C$8+$C$10+$C$11)*(S25-$C$5))/1000</f>
        <v>2.1725470000000002</v>
      </c>
      <c r="AH25" s="8">
        <f t="shared" si="9"/>
        <v>8.8795937460306007E-2</v>
      </c>
    </row>
    <row r="26" spans="1:34">
      <c r="A26" s="5">
        <v>20</v>
      </c>
      <c r="B26" s="15">
        <v>45</v>
      </c>
      <c r="C26" s="7">
        <v>48</v>
      </c>
      <c r="D26" s="10">
        <v>28.9</v>
      </c>
      <c r="E26" s="8">
        <f t="shared" si="0"/>
        <v>5.8871671803638597</v>
      </c>
      <c r="F26" s="10">
        <v>1.7</v>
      </c>
      <c r="G26" s="10"/>
      <c r="H26" s="10">
        <v>48</v>
      </c>
      <c r="I26" s="10">
        <v>46</v>
      </c>
      <c r="J26" s="10">
        <v>47.2</v>
      </c>
      <c r="K26" s="10">
        <v>43.3</v>
      </c>
      <c r="L26" s="20">
        <f t="shared" si="3"/>
        <v>14.820512820512798</v>
      </c>
      <c r="M26" s="13">
        <f t="shared" si="4"/>
        <v>3.9247781202425731</v>
      </c>
      <c r="N26" s="13">
        <f t="shared" si="5"/>
        <v>1.9623890601212866</v>
      </c>
      <c r="O26" s="10"/>
      <c r="P26" s="10">
        <v>46.5</v>
      </c>
      <c r="Q26" s="10">
        <v>43.9</v>
      </c>
      <c r="R26" s="10"/>
      <c r="S26" s="10">
        <v>20.3</v>
      </c>
      <c r="T26" s="10">
        <v>2.9</v>
      </c>
      <c r="U26" s="4">
        <f t="shared" si="10"/>
        <v>47.771950000000004</v>
      </c>
      <c r="V26" s="4"/>
      <c r="W26" s="13">
        <f t="shared" si="11"/>
        <v>8.4539999999999988</v>
      </c>
      <c r="X26" s="8">
        <f t="shared" si="12"/>
        <v>2.5461599999999995</v>
      </c>
      <c r="Y26" s="8">
        <f t="shared" si="6"/>
        <v>3.3202940899236499</v>
      </c>
      <c r="AA26" s="9">
        <f t="shared" si="1"/>
        <v>0.69637652949655315</v>
      </c>
      <c r="AB26" s="9">
        <f t="shared" si="2"/>
        <v>0.66767210230307605</v>
      </c>
      <c r="AC26" s="8">
        <f t="shared" si="7"/>
        <v>3.4630395178610942</v>
      </c>
      <c r="AD26" s="28"/>
      <c r="AE26" s="8">
        <f t="shared" si="8"/>
        <v>2.2732039141567157</v>
      </c>
      <c r="AF26" s="8">
        <f>M26-AE26</f>
        <v>1.6515742060858574</v>
      </c>
      <c r="AG26" s="8">
        <f>(($C$7+$C$9+$C$12)*(S26-T26)+($C$8+$C$10+$C$11)*(S26-$C$5))/1000</f>
        <v>2.1908940000000001</v>
      </c>
      <c r="AH26" s="8">
        <f t="shared" si="9"/>
        <v>8.2309914156715625E-2</v>
      </c>
    </row>
    <row r="27" spans="1:34">
      <c r="A27" s="5">
        <v>22</v>
      </c>
      <c r="B27" s="15">
        <v>46</v>
      </c>
      <c r="C27" s="7">
        <v>48.3</v>
      </c>
      <c r="D27" s="10">
        <v>28.3</v>
      </c>
      <c r="E27" s="8">
        <f t="shared" si="0"/>
        <v>4.4197890630897714</v>
      </c>
      <c r="F27" s="10">
        <v>1.6</v>
      </c>
      <c r="G27" s="10"/>
      <c r="H27" s="10">
        <v>47.9</v>
      </c>
      <c r="I27" s="10">
        <v>46.3</v>
      </c>
      <c r="J27" s="10">
        <v>47.2</v>
      </c>
      <c r="K27" s="10">
        <v>43.5</v>
      </c>
      <c r="L27" s="20">
        <f t="shared" si="3"/>
        <v>12.237837837837841</v>
      </c>
      <c r="M27" s="13">
        <f t="shared" si="4"/>
        <v>3.0746358699754999</v>
      </c>
      <c r="N27" s="13">
        <f t="shared" si="5"/>
        <v>1.3451531931142715</v>
      </c>
      <c r="O27" s="10"/>
      <c r="P27" s="10">
        <v>46.7</v>
      </c>
      <c r="Q27" s="10">
        <v>44.6</v>
      </c>
      <c r="R27" s="10"/>
      <c r="S27" s="10">
        <v>20.3</v>
      </c>
      <c r="T27" s="10">
        <v>2.9</v>
      </c>
      <c r="U27" s="4">
        <f t="shared" si="10"/>
        <v>47.771950000000004</v>
      </c>
      <c r="V27" s="4"/>
      <c r="W27" s="13">
        <f t="shared" si="11"/>
        <v>8.4539999999999988</v>
      </c>
      <c r="X27" s="8">
        <f t="shared" si="12"/>
        <v>2.5427279999999994</v>
      </c>
      <c r="Y27" s="8">
        <f t="shared" si="6"/>
        <v>3.3247755953448426</v>
      </c>
      <c r="AA27" s="9">
        <f t="shared" si="1"/>
        <v>0.52280447871892266</v>
      </c>
      <c r="AB27" s="9">
        <f t="shared" si="2"/>
        <v>0.62924544033022822</v>
      </c>
      <c r="AC27" s="8">
        <f t="shared" si="7"/>
        <v>2.7623681644311069</v>
      </c>
      <c r="AD27" s="28"/>
      <c r="AE27" s="8">
        <f t="shared" si="8"/>
        <v>2.3267546832009267</v>
      </c>
      <c r="AF27" s="8">
        <f>M27-AE27</f>
        <v>0.74788118677457316</v>
      </c>
      <c r="AG27" s="8">
        <f>(($C$7+$C$9+$C$12)*(S27-T27)+($C$8+$C$10+$C$11)*(S27-$C$5))/1000</f>
        <v>2.1908940000000001</v>
      </c>
      <c r="AH27" s="8">
        <f t="shared" si="9"/>
        <v>0.13586068320092659</v>
      </c>
    </row>
    <row r="28" spans="1:34">
      <c r="A28" s="5">
        <v>25</v>
      </c>
      <c r="B28" s="15">
        <v>46</v>
      </c>
      <c r="C28" s="7">
        <v>48</v>
      </c>
      <c r="D28" s="10">
        <v>29.1</v>
      </c>
      <c r="E28" s="8">
        <f t="shared" si="0"/>
        <v>3.9519392145003081</v>
      </c>
      <c r="F28" s="10">
        <v>1.6</v>
      </c>
      <c r="G28" s="10"/>
      <c r="H28" s="10">
        <v>47.7</v>
      </c>
      <c r="I28" s="10">
        <v>46.3</v>
      </c>
      <c r="J28" s="10">
        <v>47.2</v>
      </c>
      <c r="K28" s="10">
        <v>43.7</v>
      </c>
      <c r="L28" s="20">
        <f t="shared" si="3"/>
        <v>11.640000000000047</v>
      </c>
      <c r="M28" s="13">
        <f t="shared" si="4"/>
        <v>2.7663574501502262</v>
      </c>
      <c r="N28" s="13">
        <f t="shared" si="5"/>
        <v>1.1855817643500819</v>
      </c>
      <c r="O28" s="10"/>
      <c r="P28" s="10">
        <v>46.7</v>
      </c>
      <c r="Q28" s="10">
        <v>44.2</v>
      </c>
      <c r="R28" s="10"/>
      <c r="S28" s="10">
        <v>20.3</v>
      </c>
      <c r="T28" s="10">
        <v>3</v>
      </c>
      <c r="U28" s="4">
        <f t="shared" si="10"/>
        <v>47.726500000000001</v>
      </c>
      <c r="V28" s="4"/>
      <c r="W28" s="13">
        <f t="shared" si="11"/>
        <v>8.4599999999999991</v>
      </c>
      <c r="X28" s="8">
        <f t="shared" si="12"/>
        <v>2.5319600000000002</v>
      </c>
      <c r="Y28" s="8">
        <f t="shared" si="6"/>
        <v>3.341285012401459</v>
      </c>
      <c r="AA28" s="9">
        <f t="shared" si="1"/>
        <v>0.46713229485819247</v>
      </c>
      <c r="AB28" s="9">
        <f t="shared" si="2"/>
        <v>0.63192151534779384</v>
      </c>
      <c r="AC28" s="8">
        <f t="shared" si="7"/>
        <v>2.4699620090626926</v>
      </c>
      <c r="AD28" s="28"/>
      <c r="AE28" s="8">
        <f t="shared" si="8"/>
        <v>2.3029188263671987</v>
      </c>
      <c r="AF28" s="8">
        <f>M28-AE28</f>
        <v>0.46343862378302747</v>
      </c>
      <c r="AG28" s="8">
        <f>(($C$7+$C$9+$C$12)*(S28-T28)+($C$8+$C$10+$C$11)*(S28-$C$5))/1000</f>
        <v>2.184911</v>
      </c>
      <c r="AH28" s="8">
        <f t="shared" si="9"/>
        <v>0.11800782636719864</v>
      </c>
    </row>
    <row r="29" spans="1:34">
      <c r="A29" s="5">
        <v>27</v>
      </c>
      <c r="B29" s="15">
        <v>46</v>
      </c>
      <c r="C29" s="7">
        <v>48</v>
      </c>
      <c r="D29" s="10">
        <v>28.9</v>
      </c>
      <c r="E29" s="8">
        <f t="shared" si="0"/>
        <v>3.9247781202425731</v>
      </c>
      <c r="F29" s="10">
        <v>1.5</v>
      </c>
      <c r="G29" s="10"/>
      <c r="H29" s="10">
        <v>47.9</v>
      </c>
      <c r="I29" s="10">
        <v>46.3</v>
      </c>
      <c r="J29" s="10">
        <v>47.2</v>
      </c>
      <c r="K29" s="10">
        <v>43.9</v>
      </c>
      <c r="L29" s="20">
        <f t="shared" si="3"/>
        <v>14.012121212121205</v>
      </c>
      <c r="M29" s="13">
        <f t="shared" si="4"/>
        <v>3.1398224961940615</v>
      </c>
      <c r="N29" s="13">
        <f t="shared" si="5"/>
        <v>0.7849556240485116</v>
      </c>
      <c r="O29" s="10"/>
      <c r="P29" s="10">
        <v>46.7</v>
      </c>
      <c r="Q29" s="10">
        <v>44.2</v>
      </c>
      <c r="R29" s="10"/>
      <c r="S29" s="10">
        <v>20.3</v>
      </c>
      <c r="T29" s="10">
        <v>3</v>
      </c>
      <c r="U29" s="4">
        <f t="shared" si="10"/>
        <v>47.726500000000001</v>
      </c>
      <c r="V29" s="4"/>
      <c r="W29" s="13">
        <f t="shared" si="11"/>
        <v>8.4599999999999991</v>
      </c>
      <c r="X29" s="8">
        <f t="shared" si="12"/>
        <v>2.5389199999999996</v>
      </c>
      <c r="Y29" s="8">
        <f t="shared" si="6"/>
        <v>3.3321254706725694</v>
      </c>
      <c r="AA29" s="9">
        <f t="shared" si="1"/>
        <v>0.46392176362205362</v>
      </c>
      <c r="AB29" s="9">
        <f t="shared" si="2"/>
        <v>0.59080238841712229</v>
      </c>
      <c r="AC29" s="8">
        <f t="shared" si="7"/>
        <v>2.6165187468283819</v>
      </c>
      <c r="AD29" s="28"/>
      <c r="AE29" s="8">
        <f t="shared" si="8"/>
        <v>2.3029188263671987</v>
      </c>
      <c r="AF29" s="8">
        <f>M29-AE29</f>
        <v>0.83690366982686282</v>
      </c>
      <c r="AG29" s="8">
        <f>(($C$7+$C$9+$C$12)*(S29-T29)+($C$8+$C$10+$C$11)*(S29-$C$5))/1000</f>
        <v>2.184911</v>
      </c>
      <c r="AH29" s="8">
        <f t="shared" si="9"/>
        <v>0.11800782636719864</v>
      </c>
    </row>
    <row r="30" spans="1:34">
      <c r="A30" s="5">
        <v>29</v>
      </c>
      <c r="B30" s="15">
        <v>46</v>
      </c>
      <c r="C30" s="7">
        <v>48.6</v>
      </c>
      <c r="D30" s="10">
        <v>28.9</v>
      </c>
      <c r="E30" s="8">
        <f t="shared" si="0"/>
        <v>5.1022115563153481</v>
      </c>
      <c r="F30" s="10">
        <v>1.6</v>
      </c>
      <c r="G30" s="10"/>
      <c r="H30" s="10">
        <v>48.1</v>
      </c>
      <c r="I30" s="10">
        <v>46.5</v>
      </c>
      <c r="J30" s="10">
        <v>47.4</v>
      </c>
      <c r="K30" s="10">
        <v>43.9</v>
      </c>
      <c r="L30" s="20">
        <f t="shared" si="3"/>
        <v>13.211428571428582</v>
      </c>
      <c r="M30" s="13">
        <f t="shared" si="4"/>
        <v>3.139822496194062</v>
      </c>
      <c r="N30" s="13">
        <f t="shared" si="5"/>
        <v>1.9623890601212861</v>
      </c>
      <c r="O30" s="10"/>
      <c r="P30" s="10">
        <v>46.9</v>
      </c>
      <c r="Q30" s="10">
        <v>44.1</v>
      </c>
      <c r="R30" s="10"/>
      <c r="S30" s="10">
        <v>20.3</v>
      </c>
      <c r="T30" s="10">
        <v>3.1</v>
      </c>
      <c r="U30" s="4">
        <f t="shared" si="10"/>
        <v>47.681050000000006</v>
      </c>
      <c r="V30" s="4"/>
      <c r="W30" s="13">
        <f t="shared" si="11"/>
        <v>8.4659999999999993</v>
      </c>
      <c r="X30" s="8">
        <f t="shared" si="12"/>
        <v>2.5421679999999998</v>
      </c>
      <c r="Y30" s="8">
        <f t="shared" si="6"/>
        <v>3.3302283720037384</v>
      </c>
      <c r="AA30" s="9">
        <f t="shared" si="1"/>
        <v>0.60267086656217206</v>
      </c>
      <c r="AB30" s="9">
        <f t="shared" si="2"/>
        <v>0.6293840532962417</v>
      </c>
      <c r="AC30" s="8">
        <f t="shared" si="7"/>
        <v>3.1888822226970923</v>
      </c>
      <c r="AD30" s="28"/>
      <c r="AE30" s="8">
        <f t="shared" si="8"/>
        <v>2.3088724781408212</v>
      </c>
      <c r="AF30" s="8">
        <f>M30-AE30</f>
        <v>0.83095001805324076</v>
      </c>
      <c r="AG30" s="8">
        <f>(($C$7+$C$9+$C$12)*(S30-T30)+($C$8+$C$10+$C$11)*(S30-$C$5))/1000</f>
        <v>2.1789280000000004</v>
      </c>
      <c r="AH30" s="8">
        <f t="shared" si="9"/>
        <v>0.12994447814082077</v>
      </c>
    </row>
    <row r="31" spans="1:34">
      <c r="A31" s="5">
        <v>32</v>
      </c>
      <c r="B31" s="15">
        <v>46</v>
      </c>
      <c r="C31" s="7">
        <v>48</v>
      </c>
      <c r="D31" s="10">
        <v>28.7</v>
      </c>
      <c r="E31" s="8">
        <f t="shared" si="0"/>
        <v>3.8976170259848399</v>
      </c>
      <c r="F31" s="10">
        <v>1.6</v>
      </c>
      <c r="G31" s="10"/>
      <c r="H31" s="10">
        <v>48</v>
      </c>
      <c r="I31" s="10">
        <v>46.5</v>
      </c>
      <c r="J31" s="10">
        <v>47.3</v>
      </c>
      <c r="K31" s="10">
        <v>44</v>
      </c>
      <c r="L31" s="20">
        <f t="shared" si="3"/>
        <v>13.045454545454556</v>
      </c>
      <c r="M31" s="13">
        <f t="shared" si="4"/>
        <v>2.9232127694886292</v>
      </c>
      <c r="N31" s="13">
        <f t="shared" si="5"/>
        <v>0.97440425649621076</v>
      </c>
      <c r="O31" s="10"/>
      <c r="P31" s="10">
        <v>46.8</v>
      </c>
      <c r="Q31" s="10">
        <v>44.2</v>
      </c>
      <c r="R31" s="10"/>
      <c r="S31" s="10">
        <v>20.399999999999999</v>
      </c>
      <c r="T31" s="10">
        <v>3.2</v>
      </c>
      <c r="U31" s="4">
        <f t="shared" si="10"/>
        <v>47.635600000000004</v>
      </c>
      <c r="V31" s="4"/>
      <c r="W31" s="13">
        <f t="shared" si="11"/>
        <v>8.4719999999999995</v>
      </c>
      <c r="X31" s="8">
        <f t="shared" si="12"/>
        <v>2.5348799999999998</v>
      </c>
      <c r="Y31" s="8">
        <f t="shared" si="6"/>
        <v>3.3421700435523576</v>
      </c>
      <c r="AA31" s="9">
        <f t="shared" si="1"/>
        <v>0.46005866690094904</v>
      </c>
      <c r="AB31" s="9">
        <f t="shared" si="2"/>
        <v>0.63119358707315543</v>
      </c>
      <c r="AC31" s="8">
        <f t="shared" si="7"/>
        <v>2.4360106412405247</v>
      </c>
      <c r="AD31" s="28"/>
      <c r="AE31" s="8">
        <f t="shared" si="8"/>
        <v>2.2969687244226114</v>
      </c>
      <c r="AF31" s="8">
        <f>M31-AE31</f>
        <v>0.62624404506601783</v>
      </c>
      <c r="AG31" s="8">
        <f>(($C$7+$C$9+$C$12)*(S31-T31)+($C$8+$C$10+$C$11)*(S31-$C$5))/1000</f>
        <v>2.1912919999999998</v>
      </c>
      <c r="AH31" s="8">
        <f t="shared" si="9"/>
        <v>0.10567672442261156</v>
      </c>
    </row>
    <row r="32" spans="1:34">
      <c r="A32" s="5">
        <v>34</v>
      </c>
      <c r="B32" s="15">
        <v>46</v>
      </c>
      <c r="C32" s="7">
        <v>48.3</v>
      </c>
      <c r="D32" s="10">
        <v>28.9</v>
      </c>
      <c r="E32" s="8">
        <f t="shared" si="0"/>
        <v>4.5134948382789544</v>
      </c>
      <c r="F32" s="10">
        <v>1.5</v>
      </c>
      <c r="G32" s="10"/>
      <c r="H32" s="10">
        <v>48.1</v>
      </c>
      <c r="I32" s="10">
        <v>46.7</v>
      </c>
      <c r="J32" s="10">
        <v>47.4</v>
      </c>
      <c r="K32" s="10">
        <v>44.1</v>
      </c>
      <c r="L32" s="20">
        <f t="shared" si="3"/>
        <v>12.260606060606058</v>
      </c>
      <c r="M32" s="13">
        <f t="shared" si="4"/>
        <v>2.7473446841697986</v>
      </c>
      <c r="N32" s="13">
        <f t="shared" si="5"/>
        <v>1.7661501541091558</v>
      </c>
      <c r="O32" s="10"/>
      <c r="P32" s="10">
        <v>47</v>
      </c>
      <c r="Q32" s="10">
        <v>44.3</v>
      </c>
      <c r="R32" s="10"/>
      <c r="S32" s="10">
        <v>20.399999999999999</v>
      </c>
      <c r="T32" s="10">
        <v>3.2</v>
      </c>
      <c r="U32" s="4">
        <f t="shared" si="10"/>
        <v>47.635600000000004</v>
      </c>
      <c r="V32" s="4"/>
      <c r="W32" s="13">
        <f t="shared" si="11"/>
        <v>8.4719999999999995</v>
      </c>
      <c r="X32" s="8">
        <f t="shared" si="12"/>
        <v>2.5384559999999996</v>
      </c>
      <c r="Y32" s="8">
        <f t="shared" si="6"/>
        <v>3.3374618271894416</v>
      </c>
      <c r="AA32" s="9">
        <f t="shared" si="1"/>
        <v>0.53275434823878121</v>
      </c>
      <c r="AB32" s="9">
        <f t="shared" si="2"/>
        <v>0.59091038016810227</v>
      </c>
      <c r="AC32" s="8">
        <f t="shared" si="7"/>
        <v>3.0089965588526364</v>
      </c>
      <c r="AD32" s="28"/>
      <c r="AE32" s="8">
        <f t="shared" si="8"/>
        <v>2.3148296748116883</v>
      </c>
      <c r="AF32" s="8">
        <f>M32-AE32</f>
        <v>0.43251500935811027</v>
      </c>
      <c r="AG32" s="8">
        <f>(($C$7+$C$9+$C$12)*(S32-T32)+($C$8+$C$10+$C$11)*(S32-$C$5))/1000</f>
        <v>2.1912919999999998</v>
      </c>
      <c r="AH32" s="8">
        <f t="shared" si="9"/>
        <v>0.12353767481168854</v>
      </c>
    </row>
    <row r="33" spans="1:34">
      <c r="A33" s="5">
        <v>37</v>
      </c>
      <c r="B33" s="6">
        <v>46</v>
      </c>
      <c r="C33" s="7">
        <v>46.5</v>
      </c>
      <c r="D33" s="7">
        <v>28.5</v>
      </c>
      <c r="E33" s="8">
        <f t="shared" si="0"/>
        <v>0.96761398293177636</v>
      </c>
      <c r="F33" s="29">
        <v>0.2</v>
      </c>
      <c r="G33" s="7"/>
      <c r="H33" s="7">
        <v>45.7</v>
      </c>
      <c r="I33" s="7">
        <v>45.6</v>
      </c>
      <c r="J33" s="7">
        <v>45.4</v>
      </c>
      <c r="K33" s="7">
        <v>44</v>
      </c>
      <c r="L33" s="20">
        <f t="shared" si="3"/>
        <v>2.0357142857143167</v>
      </c>
      <c r="M33" s="13">
        <f t="shared" si="4"/>
        <v>0.19352279658635799</v>
      </c>
      <c r="N33" s="13">
        <f t="shared" si="5"/>
        <v>0.7740911863454184</v>
      </c>
      <c r="O33" s="7"/>
      <c r="P33" s="7">
        <v>45.1</v>
      </c>
      <c r="Q33" s="7">
        <v>43.7</v>
      </c>
      <c r="R33" s="7"/>
      <c r="S33" s="7">
        <v>20.399999999999999</v>
      </c>
      <c r="T33" s="7">
        <v>3.3</v>
      </c>
      <c r="U33" s="4">
        <f t="shared" si="10"/>
        <v>47.590150000000001</v>
      </c>
      <c r="V33" s="4"/>
      <c r="W33" s="13">
        <f t="shared" si="11"/>
        <v>8.4779999999999998</v>
      </c>
      <c r="X33" s="8">
        <f t="shared" si="12"/>
        <v>2.4477679999999999</v>
      </c>
      <c r="Y33" s="8">
        <f t="shared" si="6"/>
        <v>3.4635635403355218</v>
      </c>
      <c r="AA33" s="9">
        <f t="shared" si="1"/>
        <v>0.11413234052037938</v>
      </c>
      <c r="AB33" s="9">
        <f t="shared" si="2"/>
        <v>8.1707089887603737E-2</v>
      </c>
      <c r="AC33" s="8">
        <f t="shared" si="7"/>
        <v>4.8380699146588819</v>
      </c>
      <c r="AD33" s="28"/>
      <c r="AE33" s="8">
        <f t="shared" si="8"/>
        <v>2.1669747864437818</v>
      </c>
      <c r="AF33" s="8">
        <f>M33-AE33</f>
        <v>-1.9734519898574239</v>
      </c>
      <c r="AG33" s="8">
        <f>(($C$7+$C$9+$C$12)*(S33-T33)+($C$8+$C$10+$C$11)*(S33-$C$5))/1000</f>
        <v>2.1853089999999997</v>
      </c>
      <c r="AH33" s="8">
        <f t="shared" si="9"/>
        <v>-1.8334213556217893E-2</v>
      </c>
    </row>
    <row r="34" spans="1:34">
      <c r="A34" s="5">
        <v>40</v>
      </c>
      <c r="B34" s="6">
        <v>45</v>
      </c>
      <c r="C34" s="7">
        <v>45.3</v>
      </c>
      <c r="D34" s="7">
        <v>28.5</v>
      </c>
      <c r="E34" s="8">
        <f t="shared" si="0"/>
        <v>0.58056838975906033</v>
      </c>
      <c r="F34" s="29">
        <v>0.2</v>
      </c>
      <c r="G34" s="7"/>
      <c r="H34" s="7">
        <v>45.2</v>
      </c>
      <c r="I34" s="7">
        <v>44.7</v>
      </c>
      <c r="J34" s="7">
        <v>44.7</v>
      </c>
      <c r="K34" s="7">
        <v>43.1</v>
      </c>
      <c r="L34" s="20">
        <f t="shared" si="3"/>
        <v>8.9062499999999929</v>
      </c>
      <c r="M34" s="13">
        <f t="shared" si="4"/>
        <v>0.96761398293177647</v>
      </c>
      <c r="N34" s="13">
        <f>E34-M34</f>
        <v>-0.38704559317271614</v>
      </c>
      <c r="O34" s="7"/>
      <c r="P34" s="7">
        <v>44.2</v>
      </c>
      <c r="Q34" s="7">
        <v>42.8</v>
      </c>
      <c r="R34" s="7"/>
      <c r="S34" s="7">
        <v>20.399999999999999</v>
      </c>
      <c r="T34" s="7">
        <v>3.4</v>
      </c>
      <c r="U34" s="4">
        <f t="shared" si="10"/>
        <v>47.544700000000006</v>
      </c>
      <c r="V34" s="4"/>
      <c r="W34" s="13">
        <f t="shared" si="11"/>
        <v>8.484</v>
      </c>
      <c r="X34" s="8">
        <f t="shared" si="12"/>
        <v>2.424544</v>
      </c>
      <c r="Y34" s="8">
        <f t="shared" si="6"/>
        <v>3.499214697691607</v>
      </c>
      <c r="AA34" s="9">
        <f t="shared" si="1"/>
        <v>6.8430974747649739E-2</v>
      </c>
      <c r="AB34" s="9">
        <f t="shared" si="2"/>
        <v>8.2489738276558394E-2</v>
      </c>
      <c r="AC34" s="8">
        <f t="shared" si="7"/>
        <v>2.9028419487953014</v>
      </c>
      <c r="AD34" s="28"/>
      <c r="AE34" s="8">
        <f t="shared" si="8"/>
        <v>2.0619342747760485</v>
      </c>
      <c r="AF34" s="8">
        <f>M34-AE34</f>
        <v>-1.094320291844272</v>
      </c>
      <c r="AG34" s="8">
        <f>(($C$7+$C$9+$C$12)*(S34-T34)+($C$8+$C$10+$C$11)*(S34-$C$5))/1000</f>
        <v>2.1793260000000001</v>
      </c>
      <c r="AH34" s="8">
        <f t="shared" si="9"/>
        <v>-0.11739172522395158</v>
      </c>
    </row>
    <row r="35" spans="1:34">
      <c r="A35" s="5">
        <v>42</v>
      </c>
      <c r="B35" s="6">
        <v>44</v>
      </c>
      <c r="C35" s="7">
        <v>46.8</v>
      </c>
      <c r="D35" s="7">
        <v>28.5</v>
      </c>
      <c r="E35" s="8">
        <f t="shared" si="0"/>
        <v>5.418638304417942</v>
      </c>
      <c r="F35" s="7">
        <v>2.2000000000000002</v>
      </c>
      <c r="G35" s="5"/>
      <c r="H35" s="7">
        <v>46.3</v>
      </c>
      <c r="I35" s="7">
        <v>44.8</v>
      </c>
      <c r="J35" s="7">
        <v>45.5</v>
      </c>
      <c r="K35" s="7">
        <v>42.5</v>
      </c>
      <c r="L35" s="20">
        <f t="shared" si="3"/>
        <v>14.25</v>
      </c>
      <c r="M35" s="13">
        <f t="shared" si="4"/>
        <v>2.902841948795329</v>
      </c>
      <c r="N35" s="13">
        <f t="shared" si="5"/>
        <v>2.5157963556226131</v>
      </c>
      <c r="O35" s="5"/>
      <c r="P35" s="7">
        <v>45.2</v>
      </c>
      <c r="Q35" s="7">
        <v>42.7</v>
      </c>
      <c r="R35" s="7"/>
      <c r="S35" s="7">
        <v>20.5</v>
      </c>
      <c r="T35" s="7">
        <v>3.4</v>
      </c>
      <c r="U35" s="4">
        <f t="shared" si="10"/>
        <v>47.544700000000006</v>
      </c>
      <c r="V35" s="4"/>
      <c r="W35" s="13">
        <f t="shared" si="11"/>
        <v>8.484</v>
      </c>
      <c r="X35" s="8">
        <f t="shared" si="12"/>
        <v>2.4649359999999998</v>
      </c>
      <c r="Y35" s="8">
        <f t="shared" si="6"/>
        <v>3.4418743529243763</v>
      </c>
      <c r="AA35" s="9">
        <f t="shared" si="1"/>
        <v>0.63868909764473625</v>
      </c>
      <c r="AB35" s="9">
        <f t="shared" si="2"/>
        <v>0.89251810188986669</v>
      </c>
      <c r="AC35" s="8">
        <f t="shared" si="7"/>
        <v>2.4630174110990644</v>
      </c>
      <c r="AD35" s="28"/>
      <c r="AE35" s="8">
        <f t="shared" si="8"/>
        <v>2.1026401116800142</v>
      </c>
      <c r="AF35" s="8">
        <f>M35-AE35</f>
        <v>0.80020183711531478</v>
      </c>
      <c r="AG35" s="8">
        <f>(($C$7+$C$9+$C$12)*(S35-T35)+($C$8+$C$10+$C$11)*(S35-$C$5))/1000</f>
        <v>2.1976730000000004</v>
      </c>
      <c r="AH35" s="8">
        <f t="shared" si="9"/>
        <v>-9.5032888319986242E-2</v>
      </c>
    </row>
    <row r="36" spans="1:34">
      <c r="A36" s="5">
        <v>45</v>
      </c>
      <c r="B36" s="6">
        <v>44</v>
      </c>
      <c r="C36" s="7">
        <v>46.8</v>
      </c>
      <c r="D36" s="7">
        <v>28.7</v>
      </c>
      <c r="E36" s="8">
        <f t="shared" si="0"/>
        <v>5.4566638363787696</v>
      </c>
      <c r="F36" s="7">
        <v>1.8</v>
      </c>
      <c r="G36" s="5"/>
      <c r="H36" s="7">
        <v>46.4</v>
      </c>
      <c r="I36" s="7">
        <v>44.9</v>
      </c>
      <c r="J36" s="7">
        <v>45.7</v>
      </c>
      <c r="K36" s="7">
        <v>42.5</v>
      </c>
      <c r="L36" s="20">
        <f t="shared" si="3"/>
        <v>13.453124999999988</v>
      </c>
      <c r="M36" s="13">
        <f t="shared" si="4"/>
        <v>2.9232127694886292</v>
      </c>
      <c r="N36" s="13">
        <f t="shared" si="5"/>
        <v>2.5334510668901404</v>
      </c>
      <c r="O36" s="5"/>
      <c r="P36" s="7">
        <v>45.3</v>
      </c>
      <c r="Q36" s="7">
        <v>42.7</v>
      </c>
      <c r="R36" s="7"/>
      <c r="S36" s="7">
        <v>20.5</v>
      </c>
      <c r="T36" s="7">
        <v>3.5</v>
      </c>
      <c r="U36" s="4">
        <f t="shared" si="10"/>
        <v>47.499250000000004</v>
      </c>
      <c r="V36" s="4"/>
      <c r="W36" s="13">
        <f t="shared" si="11"/>
        <v>8.49</v>
      </c>
      <c r="X36" s="8">
        <f t="shared" si="12"/>
        <v>2.46408</v>
      </c>
      <c r="Y36" s="8">
        <f t="shared" si="6"/>
        <v>3.4455050160709066</v>
      </c>
      <c r="AA36" s="9">
        <f t="shared" si="1"/>
        <v>0.64271658850162183</v>
      </c>
      <c r="AB36" s="9">
        <f t="shared" si="2"/>
        <v>0.73049576312457387</v>
      </c>
      <c r="AC36" s="8">
        <f t="shared" si="7"/>
        <v>3.0314799090993163</v>
      </c>
      <c r="AD36" s="28"/>
      <c r="AE36" s="8">
        <f t="shared" si="8"/>
        <v>2.1084701883168284</v>
      </c>
      <c r="AF36" s="8">
        <f>M36-AE36</f>
        <v>0.81474258117180076</v>
      </c>
      <c r="AG36" s="8">
        <f>(($C$7+$C$9+$C$12)*(S36-T36)+($C$8+$C$10+$C$11)*(S36-$C$5))/1000</f>
        <v>2.1916899999999999</v>
      </c>
      <c r="AH36" s="8">
        <f t="shared" si="9"/>
        <v>-8.3219811683171496E-2</v>
      </c>
    </row>
    <row r="37" spans="1:34">
      <c r="A37" s="5">
        <v>47</v>
      </c>
      <c r="B37" s="6">
        <v>45</v>
      </c>
      <c r="C37" s="7">
        <v>47.1</v>
      </c>
      <c r="D37" s="7">
        <v>28.9</v>
      </c>
      <c r="E37" s="8">
        <f t="shared" si="0"/>
        <v>4.1210170262547043</v>
      </c>
      <c r="F37" s="7">
        <v>1.4</v>
      </c>
      <c r="G37" s="5"/>
      <c r="H37" s="7">
        <v>46.6</v>
      </c>
      <c r="I37" s="7">
        <v>45.1</v>
      </c>
      <c r="J37" s="7">
        <v>45.9</v>
      </c>
      <c r="K37" s="7">
        <v>42.7</v>
      </c>
      <c r="L37" s="20">
        <f t="shared" si="3"/>
        <v>13.546875000000016</v>
      </c>
      <c r="M37" s="13">
        <f t="shared" si="4"/>
        <v>2.9435835901819298</v>
      </c>
      <c r="N37" s="13">
        <f t="shared" si="5"/>
        <v>1.1774334360727745</v>
      </c>
      <c r="O37" s="5"/>
      <c r="P37" s="7">
        <v>45.4</v>
      </c>
      <c r="Q37" s="7">
        <v>42.8</v>
      </c>
      <c r="R37" s="7"/>
      <c r="S37" s="7">
        <v>20.5</v>
      </c>
      <c r="T37" s="7">
        <v>3.6</v>
      </c>
      <c r="U37" s="4">
        <f t="shared" si="10"/>
        <v>47.453800000000001</v>
      </c>
      <c r="V37" s="4"/>
      <c r="W37" s="13">
        <f t="shared" si="11"/>
        <v>8.4959999999999987</v>
      </c>
      <c r="X37" s="8">
        <f t="shared" si="12"/>
        <v>2.4670879999999999</v>
      </c>
      <c r="Y37" s="8">
        <f t="shared" si="6"/>
        <v>3.4437360969693822</v>
      </c>
      <c r="AA37" s="9">
        <f t="shared" si="1"/>
        <v>0.48505379310907543</v>
      </c>
      <c r="AB37" s="9">
        <f t="shared" si="2"/>
        <v>0.56747063744787374</v>
      </c>
      <c r="AC37" s="8">
        <f t="shared" si="7"/>
        <v>2.9435835901819321</v>
      </c>
      <c r="AD37" s="28"/>
      <c r="AE37" s="8">
        <f t="shared" si="8"/>
        <v>2.1201415036037163</v>
      </c>
      <c r="AF37" s="8">
        <f>M37-AE37</f>
        <v>0.82344208657821349</v>
      </c>
      <c r="AG37" s="8">
        <f>(($C$7+$C$9+$C$12)*(S37-T37)+($C$8+$C$10+$C$11)*(S37-$C$5))/1000</f>
        <v>2.1857069999999998</v>
      </c>
      <c r="AH37" s="8">
        <f t="shared" si="9"/>
        <v>-6.5565496396283507E-2</v>
      </c>
    </row>
    <row r="38" spans="1:34">
      <c r="A38" s="5">
        <v>49</v>
      </c>
      <c r="B38" s="6">
        <v>45</v>
      </c>
      <c r="C38" s="7">
        <v>47.2</v>
      </c>
      <c r="D38" s="7">
        <v>28.7</v>
      </c>
      <c r="E38" s="8">
        <f t="shared" si="0"/>
        <v>4.2873787285833291</v>
      </c>
      <c r="F38" s="7">
        <v>1.4</v>
      </c>
      <c r="G38" s="5"/>
      <c r="H38" s="7">
        <v>47</v>
      </c>
      <c r="I38" s="7">
        <v>45.4</v>
      </c>
      <c r="J38" s="7">
        <v>46.2</v>
      </c>
      <c r="K38" s="7">
        <v>42.8</v>
      </c>
      <c r="L38" s="20">
        <f t="shared" ref="L38:L39" si="13">D38*(H38-I38)/(J38-K38)</f>
        <v>13.505882352941164</v>
      </c>
      <c r="M38" s="13">
        <f t="shared" ref="M38:M39" si="14">L38*$C$3*$C$4*(J38-K38)/60</f>
        <v>3.118093620787874</v>
      </c>
      <c r="N38" s="13">
        <f t="shared" ref="N38:N39" si="15">E38-M38</f>
        <v>1.1692851077954551</v>
      </c>
      <c r="O38" s="5"/>
      <c r="P38" s="7">
        <v>45.1</v>
      </c>
      <c r="Q38" s="7">
        <v>43.6</v>
      </c>
      <c r="R38" s="7"/>
      <c r="S38" s="7">
        <v>20.5</v>
      </c>
      <c r="T38" s="7">
        <v>3.6</v>
      </c>
      <c r="U38" s="4">
        <f t="shared" ref="U38:U47" si="16">49.09-0.4545*T38</f>
        <v>47.453800000000001</v>
      </c>
      <c r="V38" s="4"/>
      <c r="W38" s="13">
        <f t="shared" ref="W38:W47" si="17">0.06*T38+8.28</f>
        <v>8.4959999999999987</v>
      </c>
      <c r="X38" s="8">
        <f t="shared" ref="X38:X47" si="18">(0.0204*H38+1.676)+(0.0048*H38-0.268)*T38</f>
        <v>2.4821599999999999</v>
      </c>
      <c r="Y38" s="8">
        <f t="shared" ref="Y38:Y47" si="19">W38/X38</f>
        <v>3.4228252812066904</v>
      </c>
      <c r="AA38" s="9">
        <f t="shared" ref="AA38:AA47" si="20">E38/W38</f>
        <v>0.50463497276169134</v>
      </c>
      <c r="AB38" s="9">
        <f t="shared" ref="AB38:AB47" si="21">F38/X38</f>
        <v>0.56402488155477482</v>
      </c>
      <c r="AC38" s="8">
        <f t="shared" ref="AC38:AC47" si="22">E38/F38</f>
        <v>3.0624133775595208</v>
      </c>
      <c r="AD38" s="28"/>
      <c r="AE38" s="8">
        <f t="shared" ref="AE38:AE47" si="23">(34.8*((P38+Q38)/2-S38)^1.3)/1000</f>
        <v>2.1493846466929574</v>
      </c>
      <c r="AF38" s="8">
        <f t="shared" ref="AF38:AF47" si="24">M38-AE38</f>
        <v>0.96870897409491663</v>
      </c>
      <c r="AG38" s="8">
        <f>(($C$7+$C$9+$C$12)*(S38-T38)+($C$8+$C$10+$C$11)*(S38-$C$5))/1000</f>
        <v>2.1857069999999998</v>
      </c>
      <c r="AH38" s="8">
        <f t="shared" ref="AH38:AH47" si="25">AE38-AG38</f>
        <v>-3.6322353307042476E-2</v>
      </c>
    </row>
    <row r="39" spans="1:34">
      <c r="A39" s="5">
        <v>51</v>
      </c>
      <c r="B39" s="6">
        <v>45</v>
      </c>
      <c r="C39" s="7">
        <v>47.5</v>
      </c>
      <c r="D39" s="7">
        <v>28.9</v>
      </c>
      <c r="E39" s="8">
        <f t="shared" si="0"/>
        <v>4.9059726503032159</v>
      </c>
      <c r="F39" s="7">
        <v>1.6</v>
      </c>
      <c r="G39" s="5"/>
      <c r="H39" s="7">
        <v>47.4</v>
      </c>
      <c r="I39" s="7">
        <v>45.6</v>
      </c>
      <c r="J39" s="7">
        <v>46.5</v>
      </c>
      <c r="K39" s="7">
        <v>43</v>
      </c>
      <c r="L39" s="20">
        <f t="shared" si="13"/>
        <v>14.86285714285712</v>
      </c>
      <c r="M39" s="13">
        <f t="shared" si="14"/>
        <v>3.5323003082183106</v>
      </c>
      <c r="N39" s="13">
        <f t="shared" si="15"/>
        <v>1.3736723420849053</v>
      </c>
      <c r="O39" s="5"/>
      <c r="P39" s="7">
        <v>45.8</v>
      </c>
      <c r="Q39" s="7">
        <v>43.6</v>
      </c>
      <c r="R39" s="7"/>
      <c r="S39" s="7">
        <v>20.5</v>
      </c>
      <c r="T39" s="7">
        <v>3.7</v>
      </c>
      <c r="U39" s="4">
        <f t="shared" si="16"/>
        <v>47.408350000000006</v>
      </c>
      <c r="V39" s="4"/>
      <c r="W39" s="13">
        <f t="shared" si="17"/>
        <v>8.5019999999999989</v>
      </c>
      <c r="X39" s="8">
        <f t="shared" si="18"/>
        <v>2.4931839999999998</v>
      </c>
      <c r="Y39" s="8">
        <f t="shared" si="19"/>
        <v>3.4100972892494092</v>
      </c>
      <c r="AA39" s="9">
        <f t="shared" si="20"/>
        <v>0.57703747945227202</v>
      </c>
      <c r="AB39" s="9">
        <f t="shared" si="21"/>
        <v>0.6417496662901736</v>
      </c>
      <c r="AC39" s="8">
        <f t="shared" si="22"/>
        <v>3.06623290643951</v>
      </c>
      <c r="AD39" s="28"/>
      <c r="AE39" s="8">
        <f t="shared" si="23"/>
        <v>2.1904796342230126</v>
      </c>
      <c r="AF39" s="8">
        <f t="shared" si="24"/>
        <v>1.341820673995298</v>
      </c>
      <c r="AG39" s="8">
        <f>(($C$7+$C$9+$C$12)*(S39-T39)+($C$8+$C$10+$C$11)*(S39-$C$5))/1000</f>
        <v>2.1797240000000002</v>
      </c>
      <c r="AH39" s="8">
        <f t="shared" si="25"/>
        <v>1.07556342230124E-2</v>
      </c>
    </row>
    <row r="40" spans="1:34">
      <c r="A40" s="5">
        <v>55</v>
      </c>
      <c r="B40" s="6">
        <v>45</v>
      </c>
      <c r="C40" s="7">
        <v>47.7</v>
      </c>
      <c r="D40" s="7">
        <v>28.7</v>
      </c>
      <c r="E40" s="8">
        <f t="shared" si="0"/>
        <v>5.261782985079539</v>
      </c>
      <c r="F40" s="7">
        <v>1.6</v>
      </c>
      <c r="G40" s="5"/>
      <c r="H40" s="7">
        <v>47.7</v>
      </c>
      <c r="I40" s="7">
        <v>45.9</v>
      </c>
      <c r="J40" s="7">
        <v>46.9</v>
      </c>
      <c r="K40" s="7">
        <v>43.3</v>
      </c>
      <c r="L40" s="20">
        <f t="shared" ref="L40:L47" si="26">D40*(H40-I40)/(J40-K40)</f>
        <v>14.350000000000028</v>
      </c>
      <c r="M40" s="13">
        <f t="shared" ref="M40:M47" si="27">L40*$C$3*$C$4*(J40-K40)/60</f>
        <v>3.5078553233863641</v>
      </c>
      <c r="N40" s="13">
        <f t="shared" ref="N40:N47" si="28">E40-M40</f>
        <v>1.7539276616931749</v>
      </c>
      <c r="O40" s="5"/>
      <c r="P40" s="7">
        <v>46.2</v>
      </c>
      <c r="Q40" s="7">
        <v>43.9</v>
      </c>
      <c r="R40" s="7"/>
      <c r="S40" s="7">
        <v>20.5</v>
      </c>
      <c r="T40" s="7">
        <v>3.7</v>
      </c>
      <c r="U40" s="4">
        <f t="shared" si="16"/>
        <v>47.408350000000006</v>
      </c>
      <c r="V40" s="4"/>
      <c r="W40" s="13">
        <f t="shared" si="17"/>
        <v>8.5019999999999989</v>
      </c>
      <c r="X40" s="8">
        <f t="shared" si="18"/>
        <v>2.504632</v>
      </c>
      <c r="Y40" s="8">
        <f t="shared" si="19"/>
        <v>3.3945106506664446</v>
      </c>
      <c r="AA40" s="9">
        <f t="shared" si="20"/>
        <v>0.61888767173365555</v>
      </c>
      <c r="AB40" s="9">
        <f t="shared" si="21"/>
        <v>0.63881640097227865</v>
      </c>
      <c r="AC40" s="8">
        <f t="shared" si="22"/>
        <v>3.2886143656747118</v>
      </c>
      <c r="AD40" s="28"/>
      <c r="AE40" s="8">
        <f t="shared" si="23"/>
        <v>2.2317533191361569</v>
      </c>
      <c r="AF40" s="8">
        <f t="shared" si="24"/>
        <v>1.2761020042502071</v>
      </c>
      <c r="AG40" s="8">
        <f>(($C$7+$C$9+$C$12)*(S40-T40)+($C$8+$C$10+$C$11)*(S40-$C$5))/1000</f>
        <v>2.1797240000000002</v>
      </c>
      <c r="AH40" s="8">
        <f t="shared" si="25"/>
        <v>5.2029319136156715E-2</v>
      </c>
    </row>
    <row r="41" spans="1:34">
      <c r="A41" s="5">
        <v>57</v>
      </c>
      <c r="B41" s="6">
        <v>46</v>
      </c>
      <c r="C41" s="7">
        <v>47.8</v>
      </c>
      <c r="D41" s="7">
        <v>28.5</v>
      </c>
      <c r="E41" s="8">
        <f t="shared" si="0"/>
        <v>3.4834103385543895</v>
      </c>
      <c r="F41" s="7">
        <v>1.8</v>
      </c>
      <c r="G41" s="5"/>
      <c r="H41" s="7">
        <v>47.8</v>
      </c>
      <c r="I41" s="7">
        <v>46.1</v>
      </c>
      <c r="J41" s="7">
        <v>47.1</v>
      </c>
      <c r="K41" s="7">
        <v>43.6</v>
      </c>
      <c r="L41" s="20">
        <f t="shared" si="26"/>
        <v>13.842857142857108</v>
      </c>
      <c r="M41" s="13">
        <f t="shared" si="27"/>
        <v>3.2898875419680311</v>
      </c>
      <c r="N41" s="13">
        <f t="shared" si="28"/>
        <v>0.1935227965863584</v>
      </c>
      <c r="O41" s="5"/>
      <c r="P41" s="7">
        <v>46.5</v>
      </c>
      <c r="Q41" s="7">
        <v>44.2</v>
      </c>
      <c r="R41" s="7"/>
      <c r="S41" s="7">
        <v>20.6</v>
      </c>
      <c r="T41" s="7">
        <v>3.8</v>
      </c>
      <c r="U41" s="4">
        <f t="shared" si="16"/>
        <v>47.362900000000003</v>
      </c>
      <c r="V41" s="4"/>
      <c r="W41" s="13">
        <f t="shared" si="17"/>
        <v>8.5079999999999991</v>
      </c>
      <c r="X41" s="8">
        <f t="shared" si="18"/>
        <v>2.5045919999999997</v>
      </c>
      <c r="Y41" s="8">
        <f t="shared" si="19"/>
        <v>3.396960463021522</v>
      </c>
      <c r="AA41" s="9">
        <f t="shared" si="20"/>
        <v>0.40942763734771859</v>
      </c>
      <c r="AB41" s="9">
        <f t="shared" si="21"/>
        <v>0.71867992870695119</v>
      </c>
      <c r="AC41" s="8">
        <f t="shared" si="22"/>
        <v>1.9352279658635496</v>
      </c>
      <c r="AD41" s="28"/>
      <c r="AE41" s="8">
        <f t="shared" si="23"/>
        <v>2.2554178238230547</v>
      </c>
      <c r="AF41" s="8">
        <f t="shared" si="24"/>
        <v>1.0344697181449765</v>
      </c>
      <c r="AG41" s="8">
        <f>(($C$7+$C$9+$C$12)*(S41-T41)+($C$8+$C$10+$C$11)*(S41-$C$5))/1000</f>
        <v>2.1920880000000005</v>
      </c>
      <c r="AH41" s="8">
        <f t="shared" si="25"/>
        <v>6.3329823823054188E-2</v>
      </c>
    </row>
    <row r="42" spans="1:34">
      <c r="A42" s="5">
        <v>59</v>
      </c>
      <c r="B42" s="6">
        <v>46</v>
      </c>
      <c r="C42" s="7">
        <v>48</v>
      </c>
      <c r="D42" s="7">
        <v>28.9</v>
      </c>
      <c r="E42" s="8">
        <f t="shared" si="0"/>
        <v>3.9247781202425731</v>
      </c>
      <c r="F42" s="7">
        <v>1.6</v>
      </c>
      <c r="G42" s="5"/>
      <c r="H42" s="7">
        <v>47.9</v>
      </c>
      <c r="I42" s="7">
        <v>46.4</v>
      </c>
      <c r="J42" s="7">
        <v>47.2</v>
      </c>
      <c r="K42" s="7">
        <v>43.9</v>
      </c>
      <c r="L42" s="20">
        <f t="shared" si="26"/>
        <v>13.136363636363617</v>
      </c>
      <c r="M42" s="13">
        <f t="shared" si="27"/>
        <v>2.9435835901819298</v>
      </c>
      <c r="N42" s="13">
        <f t="shared" si="28"/>
        <v>0.98119453006064328</v>
      </c>
      <c r="O42" s="5"/>
      <c r="P42" s="7">
        <v>46.4</v>
      </c>
      <c r="Q42" s="7">
        <v>44.5</v>
      </c>
      <c r="R42" s="7"/>
      <c r="S42" s="7">
        <v>20.6</v>
      </c>
      <c r="T42" s="7">
        <v>3.9</v>
      </c>
      <c r="U42" s="4">
        <f t="shared" si="16"/>
        <v>47.317450000000001</v>
      </c>
      <c r="V42" s="4"/>
      <c r="W42" s="13">
        <f t="shared" si="17"/>
        <v>8.5139999999999993</v>
      </c>
      <c r="X42" s="8">
        <f t="shared" si="18"/>
        <v>2.5046479999999995</v>
      </c>
      <c r="Y42" s="8">
        <f t="shared" si="19"/>
        <v>3.3992800585152088</v>
      </c>
      <c r="AA42" s="9">
        <f t="shared" si="20"/>
        <v>0.46097934228829851</v>
      </c>
      <c r="AB42" s="9">
        <f t="shared" si="21"/>
        <v>0.63881232013440625</v>
      </c>
      <c r="AC42" s="8">
        <f t="shared" si="22"/>
        <v>2.452986325151608</v>
      </c>
      <c r="AD42" s="28"/>
      <c r="AE42" s="8">
        <f t="shared" si="23"/>
        <v>2.2672716359217184</v>
      </c>
      <c r="AF42" s="8">
        <f t="shared" si="24"/>
        <v>0.6763119542602114</v>
      </c>
      <c r="AG42" s="8">
        <f>(($C$7+$C$9+$C$12)*(S42-T42)+($C$8+$C$10+$C$11)*(S42-$C$5))/1000</f>
        <v>2.1861050000000004</v>
      </c>
      <c r="AH42" s="8">
        <f t="shared" si="25"/>
        <v>8.1166635921718022E-2</v>
      </c>
    </row>
    <row r="43" spans="1:34">
      <c r="A43" s="5">
        <v>61</v>
      </c>
      <c r="B43" s="6">
        <v>45</v>
      </c>
      <c r="C43" s="7">
        <v>46</v>
      </c>
      <c r="D43" s="7">
        <v>28.7</v>
      </c>
      <c r="E43" s="8">
        <f t="shared" si="0"/>
        <v>1.94880851299242</v>
      </c>
      <c r="F43" s="29">
        <v>0.2</v>
      </c>
      <c r="G43" s="5"/>
      <c r="H43" s="7">
        <v>45.2</v>
      </c>
      <c r="I43" s="7">
        <v>45.3</v>
      </c>
      <c r="J43" s="7">
        <v>45</v>
      </c>
      <c r="K43" s="7">
        <v>43.8</v>
      </c>
      <c r="L43" s="20">
        <f t="shared" si="26"/>
        <v>-2.3916666666665249</v>
      </c>
      <c r="M43" s="13">
        <f t="shared" si="27"/>
        <v>-0.19488085129923091</v>
      </c>
      <c r="N43" s="13">
        <f t="shared" si="28"/>
        <v>2.1436893642916508</v>
      </c>
      <c r="O43" s="5"/>
      <c r="P43" s="7">
        <v>44.7</v>
      </c>
      <c r="Q43" s="7">
        <v>43.7</v>
      </c>
      <c r="R43" s="7"/>
      <c r="S43" s="7">
        <v>20.6</v>
      </c>
      <c r="T43" s="7">
        <v>4</v>
      </c>
      <c r="U43" s="4">
        <f t="shared" si="16"/>
        <v>47.272000000000006</v>
      </c>
      <c r="V43" s="4"/>
      <c r="W43" s="13">
        <f t="shared" si="17"/>
        <v>8.52</v>
      </c>
      <c r="X43" s="8">
        <f t="shared" si="18"/>
        <v>2.3939199999999996</v>
      </c>
      <c r="Y43" s="8">
        <f t="shared" si="19"/>
        <v>3.559016174308248</v>
      </c>
      <c r="AA43" s="9">
        <f t="shared" si="20"/>
        <v>0.22873339354371128</v>
      </c>
      <c r="AB43" s="9">
        <f t="shared" si="21"/>
        <v>8.3544980617564518E-2</v>
      </c>
      <c r="AC43" s="8">
        <f t="shared" si="22"/>
        <v>9.7440425649620988</v>
      </c>
      <c r="AD43" s="28"/>
      <c r="AE43" s="8">
        <f t="shared" si="23"/>
        <v>2.1201415036037163</v>
      </c>
      <c r="AF43" s="8">
        <f t="shared" si="24"/>
        <v>-2.3150223549029474</v>
      </c>
      <c r="AG43" s="8">
        <f>(($C$7+$C$9+$C$12)*(S43-T43)+($C$8+$C$10+$C$11)*(S43-$C$5))/1000</f>
        <v>2.1801220000000003</v>
      </c>
      <c r="AH43" s="8">
        <f t="shared" si="25"/>
        <v>-5.9980496396284E-2</v>
      </c>
    </row>
    <row r="44" spans="1:34">
      <c r="A44" s="5">
        <v>63</v>
      </c>
      <c r="B44" s="6">
        <v>44</v>
      </c>
      <c r="C44" s="7">
        <v>45.3</v>
      </c>
      <c r="D44" s="7">
        <v>28.9</v>
      </c>
      <c r="E44" s="8">
        <f t="shared" si="0"/>
        <v>2.5511057781576674</v>
      </c>
      <c r="F44" s="29">
        <v>0.2</v>
      </c>
      <c r="G44" s="5"/>
      <c r="H44" s="7">
        <v>45.2</v>
      </c>
      <c r="I44" s="7">
        <v>44.5</v>
      </c>
      <c r="J44" s="7">
        <v>44.5</v>
      </c>
      <c r="K44" s="7">
        <v>43.1</v>
      </c>
      <c r="L44" s="20">
        <f t="shared" si="26"/>
        <v>14.450000000000074</v>
      </c>
      <c r="M44" s="13">
        <f t="shared" si="27"/>
        <v>1.3736723420849064</v>
      </c>
      <c r="N44" s="13">
        <f t="shared" si="28"/>
        <v>1.177433436072761</v>
      </c>
      <c r="O44" s="5"/>
      <c r="P44" s="7">
        <v>44</v>
      </c>
      <c r="Q44" s="7">
        <v>42.9</v>
      </c>
      <c r="R44" s="7"/>
      <c r="S44" s="7">
        <v>20.6</v>
      </c>
      <c r="T44" s="7">
        <v>4.0999999999999996</v>
      </c>
      <c r="U44" s="4">
        <f t="shared" si="16"/>
        <v>47.226550000000003</v>
      </c>
      <c r="V44" s="4"/>
      <c r="W44" s="13">
        <f t="shared" si="17"/>
        <v>8.5259999999999998</v>
      </c>
      <c r="X44" s="8">
        <f t="shared" si="18"/>
        <v>2.3888159999999998</v>
      </c>
      <c r="Y44" s="8">
        <f t="shared" si="19"/>
        <v>3.5691321558462437</v>
      </c>
      <c r="AA44" s="9">
        <f t="shared" si="20"/>
        <v>0.29921484613624999</v>
      </c>
      <c r="AB44" s="9">
        <f t="shared" si="21"/>
        <v>8.3723484772372597E-2</v>
      </c>
      <c r="AC44" s="8">
        <f t="shared" si="22"/>
        <v>12.755528890788336</v>
      </c>
      <c r="AD44" s="28"/>
      <c r="AE44" s="8">
        <f t="shared" si="23"/>
        <v>2.0329715904351358</v>
      </c>
      <c r="AF44" s="8">
        <f t="shared" si="24"/>
        <v>-0.65929924835022935</v>
      </c>
      <c r="AG44" s="8">
        <f>(($C$7+$C$9+$C$12)*(S44-T44)+($C$8+$C$10+$C$11)*(S44-$C$5))/1000</f>
        <v>2.1741390000000003</v>
      </c>
      <c r="AH44" s="8">
        <f t="shared" si="25"/>
        <v>-0.14116740956486451</v>
      </c>
    </row>
    <row r="45" spans="1:34">
      <c r="A45" s="5">
        <v>65</v>
      </c>
      <c r="B45" s="6">
        <v>44</v>
      </c>
      <c r="C45" s="7">
        <v>46.8</v>
      </c>
      <c r="D45" s="7">
        <v>29.1</v>
      </c>
      <c r="E45" s="8">
        <f t="shared" si="0"/>
        <v>5.5327149003004257</v>
      </c>
      <c r="F45" s="7">
        <v>2.2000000000000002</v>
      </c>
      <c r="G45" s="5"/>
      <c r="H45" s="7">
        <v>46.3</v>
      </c>
      <c r="I45" s="7">
        <v>44.6</v>
      </c>
      <c r="J45" s="7">
        <v>45.5</v>
      </c>
      <c r="K45" s="7">
        <v>42.4</v>
      </c>
      <c r="L45" s="20">
        <f t="shared" si="26"/>
        <v>15.958064516128985</v>
      </c>
      <c r="M45" s="13">
        <f t="shared" si="27"/>
        <v>3.3591483323252529</v>
      </c>
      <c r="N45" s="13">
        <f t="shared" si="28"/>
        <v>2.1735665679751728</v>
      </c>
      <c r="O45" s="5"/>
      <c r="P45" s="7">
        <v>44.4</v>
      </c>
      <c r="Q45" s="7">
        <v>42.8</v>
      </c>
      <c r="R45" s="7"/>
      <c r="S45" s="7">
        <v>20.6</v>
      </c>
      <c r="T45" s="7">
        <v>4.2</v>
      </c>
      <c r="U45" s="4">
        <f t="shared" si="16"/>
        <v>47.181100000000001</v>
      </c>
      <c r="V45" s="4"/>
      <c r="W45" s="13">
        <f t="shared" si="17"/>
        <v>8.532</v>
      </c>
      <c r="X45" s="8">
        <f t="shared" si="18"/>
        <v>2.4283279999999996</v>
      </c>
      <c r="Y45" s="8">
        <f t="shared" si="19"/>
        <v>3.5135286501658762</v>
      </c>
      <c r="AA45" s="9">
        <f t="shared" si="20"/>
        <v>0.64846635024618204</v>
      </c>
      <c r="AB45" s="9">
        <f t="shared" si="21"/>
        <v>0.90597316342767553</v>
      </c>
      <c r="AC45" s="8">
        <f t="shared" si="22"/>
        <v>2.5148704092274659</v>
      </c>
      <c r="AD45" s="28"/>
      <c r="AE45" s="8">
        <f t="shared" si="23"/>
        <v>2.0503378583175067</v>
      </c>
      <c r="AF45" s="8">
        <f t="shared" si="24"/>
        <v>1.3088104740077462</v>
      </c>
      <c r="AG45" s="8">
        <f>(($C$7+$C$9+$C$12)*(S45-T45)+($C$8+$C$10+$C$11)*(S45-$C$5))/1000</f>
        <v>2.1681560000000002</v>
      </c>
      <c r="AH45" s="8">
        <f t="shared" si="25"/>
        <v>-0.11781814168249349</v>
      </c>
    </row>
    <row r="46" spans="1:34">
      <c r="A46" s="5">
        <v>68</v>
      </c>
      <c r="B46" s="6">
        <v>44</v>
      </c>
      <c r="C46" s="7">
        <v>47</v>
      </c>
      <c r="D46" s="7">
        <v>28.7</v>
      </c>
      <c r="E46" s="8">
        <f t="shared" si="0"/>
        <v>5.8464255389772593</v>
      </c>
      <c r="F46" s="7">
        <v>1.8</v>
      </c>
      <c r="G46" s="5"/>
      <c r="H46" s="7">
        <v>46.5</v>
      </c>
      <c r="I46" s="7">
        <v>44.9</v>
      </c>
      <c r="J46" s="7">
        <v>45.8</v>
      </c>
      <c r="K46" s="7">
        <v>42.3</v>
      </c>
      <c r="L46" s="20">
        <f t="shared" si="26"/>
        <v>13.12000000000001</v>
      </c>
      <c r="M46" s="13">
        <f t="shared" si="27"/>
        <v>3.118093620787874</v>
      </c>
      <c r="N46" s="13">
        <f t="shared" si="28"/>
        <v>2.7283319181893853</v>
      </c>
      <c r="O46" s="5"/>
      <c r="P46" s="7">
        <v>45.2</v>
      </c>
      <c r="Q46" s="7">
        <v>43</v>
      </c>
      <c r="R46" s="7"/>
      <c r="S46" s="7">
        <v>20.7</v>
      </c>
      <c r="T46" s="7">
        <v>4.3</v>
      </c>
      <c r="U46" s="4">
        <f t="shared" si="16"/>
        <v>47.135650000000005</v>
      </c>
      <c r="V46" s="4"/>
      <c r="W46" s="13">
        <f t="shared" si="17"/>
        <v>8.5380000000000003</v>
      </c>
      <c r="X46" s="8">
        <f t="shared" si="18"/>
        <v>2.4319600000000001</v>
      </c>
      <c r="Y46" s="8">
        <f t="shared" si="19"/>
        <v>3.5107485320482246</v>
      </c>
      <c r="AA46" s="9">
        <f t="shared" si="20"/>
        <v>0.68475351826859443</v>
      </c>
      <c r="AB46" s="9">
        <f t="shared" si="21"/>
        <v>0.74014375236434804</v>
      </c>
      <c r="AC46" s="8">
        <f t="shared" si="22"/>
        <v>3.2480141883206994</v>
      </c>
      <c r="AD46" s="28"/>
      <c r="AE46" s="8">
        <f t="shared" si="23"/>
        <v>2.0968137631132371</v>
      </c>
      <c r="AF46" s="8">
        <f t="shared" si="24"/>
        <v>1.0212798576746369</v>
      </c>
      <c r="AG46" s="8">
        <f>(($C$7+$C$9+$C$12)*(S46-T46)+($C$8+$C$10+$C$11)*(S46-$C$5))/1000</f>
        <v>2.18052</v>
      </c>
      <c r="AH46" s="8">
        <f t="shared" si="25"/>
        <v>-8.370623688676293E-2</v>
      </c>
    </row>
    <row r="47" spans="1:34">
      <c r="A47" s="5">
        <v>71</v>
      </c>
      <c r="B47" s="6">
        <v>44</v>
      </c>
      <c r="C47" s="7">
        <v>47.1</v>
      </c>
      <c r="D47" s="7">
        <v>28.7</v>
      </c>
      <c r="E47" s="8">
        <f t="shared" si="0"/>
        <v>6.0413063902765041</v>
      </c>
      <c r="F47" s="7">
        <v>1.4</v>
      </c>
      <c r="G47" s="5"/>
      <c r="H47" s="7">
        <v>46.7</v>
      </c>
      <c r="I47" s="7">
        <v>45.1</v>
      </c>
      <c r="J47" s="7">
        <v>46</v>
      </c>
      <c r="K47" s="7">
        <v>42.7</v>
      </c>
      <c r="L47" s="20">
        <f t="shared" si="26"/>
        <v>13.915151515151539</v>
      </c>
      <c r="M47" s="13">
        <f t="shared" si="27"/>
        <v>3.1180936207878744</v>
      </c>
      <c r="N47" s="13">
        <f t="shared" si="28"/>
        <v>2.9232127694886296</v>
      </c>
      <c r="O47" s="5"/>
      <c r="P47" s="7">
        <v>44.9</v>
      </c>
      <c r="Q47" s="7">
        <v>43.7</v>
      </c>
      <c r="R47" s="7"/>
      <c r="S47" s="7">
        <v>20.7</v>
      </c>
      <c r="T47" s="7">
        <v>4.4000000000000004</v>
      </c>
      <c r="U47" s="4">
        <f t="shared" si="16"/>
        <v>47.090200000000003</v>
      </c>
      <c r="V47" s="4"/>
      <c r="W47" s="13">
        <f t="shared" si="17"/>
        <v>8.5439999999999987</v>
      </c>
      <c r="X47" s="8">
        <f t="shared" si="18"/>
        <v>2.4357839999999999</v>
      </c>
      <c r="Y47" s="8">
        <f t="shared" si="19"/>
        <v>3.5077001901646447</v>
      </c>
      <c r="AA47" s="9">
        <f t="shared" si="20"/>
        <v>0.70708174043498417</v>
      </c>
      <c r="AB47" s="9">
        <f t="shared" si="21"/>
        <v>0.57476360793896342</v>
      </c>
      <c r="AC47" s="8">
        <f t="shared" si="22"/>
        <v>4.3152188501975033</v>
      </c>
      <c r="AD47" s="28"/>
      <c r="AE47" s="8">
        <f t="shared" si="23"/>
        <v>2.1201415036037163</v>
      </c>
      <c r="AF47" s="8">
        <f t="shared" si="24"/>
        <v>0.99795211718415811</v>
      </c>
      <c r="AG47" s="8">
        <f>(($C$7+$C$9+$C$12)*(S47-T47)+($C$8+$C$10+$C$11)*(S47-$C$5))/1000</f>
        <v>2.1745369999999999</v>
      </c>
      <c r="AH47" s="8">
        <f t="shared" si="25"/>
        <v>-5.4395496396283605E-2</v>
      </c>
    </row>
    <row r="48" spans="1:34">
      <c r="A48" s="17"/>
      <c r="B48" s="6"/>
      <c r="C48" s="7"/>
      <c r="D48" s="7"/>
      <c r="E48" s="8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4"/>
      <c r="V48" s="4"/>
      <c r="W48" s="13"/>
      <c r="X48" s="8"/>
      <c r="Y48" s="8"/>
      <c r="AA48" s="9"/>
      <c r="AB48" s="9"/>
      <c r="AC48" s="8"/>
      <c r="AE48" s="14"/>
      <c r="AF48" s="14"/>
      <c r="AG48" s="14"/>
      <c r="AH48" s="14"/>
    </row>
    <row r="49" spans="1:34">
      <c r="A49" s="3" t="s">
        <v>9</v>
      </c>
      <c r="B49" s="4">
        <f>AVERAGE(B18:B36)</f>
        <v>45.263157894736842</v>
      </c>
      <c r="C49" s="4">
        <f>AVERAGE(C18:C36)</f>
        <v>47.426315789473676</v>
      </c>
      <c r="D49" s="4">
        <f>AVERAGE(D18:D36)</f>
        <v>28.689473684210522</v>
      </c>
      <c r="E49" s="8">
        <f>AVERAGE(E18:E36)</f>
        <v>4.2147942780077194</v>
      </c>
      <c r="F49" s="8">
        <f>AVERAGE(F18:F36)</f>
        <v>1.4684210526315788</v>
      </c>
      <c r="G49" s="5"/>
      <c r="H49" s="4">
        <f>AVERAGE(H18:H36)</f>
        <v>47.015789473684208</v>
      </c>
      <c r="I49" s="4">
        <f t="shared" ref="I49:K49" si="29">AVERAGE(I18:I36)</f>
        <v>45.431578947368422</v>
      </c>
      <c r="J49" s="4">
        <f t="shared" si="29"/>
        <v>46.357894736842105</v>
      </c>
      <c r="K49" s="4">
        <f t="shared" si="29"/>
        <v>43.173684210526318</v>
      </c>
      <c r="L49" s="5"/>
      <c r="M49" s="5"/>
      <c r="N49" s="5"/>
      <c r="O49" s="5"/>
      <c r="P49" s="4">
        <f t="shared" ref="P49:Y49" si="30">AVERAGE(P18:P36)</f>
        <v>45.926315789473676</v>
      </c>
      <c r="Q49" s="4">
        <f t="shared" si="30"/>
        <v>43.473684210526322</v>
      </c>
      <c r="R49" s="5"/>
      <c r="S49" s="4">
        <f t="shared" si="30"/>
        <v>20.299999999999997</v>
      </c>
      <c r="T49" s="4">
        <f t="shared" si="30"/>
        <v>3.0157894736842108</v>
      </c>
      <c r="U49" s="4">
        <f t="shared" si="30"/>
        <v>47.719323684210529</v>
      </c>
      <c r="V49" s="4"/>
      <c r="W49" s="8">
        <f t="shared" si="30"/>
        <v>8.460947368421051</v>
      </c>
      <c r="X49" s="8">
        <f t="shared" si="30"/>
        <v>2.507308210526316</v>
      </c>
      <c r="Y49" s="8">
        <f t="shared" si="30"/>
        <v>3.3752953078122481</v>
      </c>
      <c r="AA49" s="9"/>
      <c r="AB49" s="9"/>
      <c r="AC49" s="8"/>
      <c r="AE49" s="8">
        <f t="shared" ref="AE49:AG49" si="31">AVERAGE(AE18:AE36)</f>
        <v>2.2144067815101409</v>
      </c>
      <c r="AF49" s="14"/>
      <c r="AG49" s="8">
        <f t="shared" si="31"/>
        <v>2.183966315789474</v>
      </c>
      <c r="AH49" s="14"/>
    </row>
    <row r="50" spans="1:34">
      <c r="A50" s="17" t="s">
        <v>87</v>
      </c>
      <c r="B50" s="20">
        <f>STDEV(B18:B47)</f>
        <v>0.71196667880178044</v>
      </c>
      <c r="C50" s="20">
        <f>STDEV(C18:C47)</f>
        <v>0.82073698308474208</v>
      </c>
      <c r="D50" s="20">
        <f>STDEV(D18:D47)</f>
        <v>0.2016027731962495</v>
      </c>
      <c r="E50" s="20">
        <f>STDEV(E18:E47)</f>
        <v>1.3808774985990144</v>
      </c>
      <c r="F50" s="20">
        <f>STDEV(F18:F47)</f>
        <v>0.59970299162245277</v>
      </c>
      <c r="G50" s="5"/>
      <c r="H50" s="20">
        <f>STDEV(H18:H47)</f>
        <v>0.96325597271175578</v>
      </c>
      <c r="I50" s="20">
        <f t="shared" ref="I50:K50" si="32">STDEV(I18:I47)</f>
        <v>0.95176182667351572</v>
      </c>
      <c r="J50" s="20">
        <f t="shared" si="32"/>
        <v>0.87206980633824316</v>
      </c>
      <c r="K50" s="20">
        <f t="shared" si="32"/>
        <v>0.58081393542688209</v>
      </c>
      <c r="L50" s="5"/>
      <c r="M50" s="5"/>
      <c r="N50" s="5"/>
      <c r="O50" s="5"/>
      <c r="P50" s="20">
        <f t="shared" ref="P50:Q50" si="33">STDEV(P18:P47)</f>
        <v>0.89015044576271107</v>
      </c>
      <c r="Q50" s="20">
        <f t="shared" si="33"/>
        <v>0.61998331456860734</v>
      </c>
      <c r="R50" s="5"/>
      <c r="S50" s="5"/>
      <c r="T50" s="5"/>
      <c r="U50" s="20">
        <f t="shared" ref="U50" si="34">STDEV(U18:U47)</f>
        <v>0.23593377555586309</v>
      </c>
      <c r="V50" s="4"/>
      <c r="W50" s="13"/>
      <c r="X50" s="8"/>
      <c r="Y50" s="8"/>
      <c r="AA50" s="9"/>
      <c r="AB50" s="9"/>
      <c r="AC50" s="8"/>
      <c r="AE50" s="20">
        <f t="shared" ref="AE50:AG50" si="35">STDEV(AE18:AE47)</f>
        <v>8.8013932778800402E-2</v>
      </c>
      <c r="AF50" s="14"/>
      <c r="AG50" s="20">
        <f t="shared" si="35"/>
        <v>7.860583445412881E-3</v>
      </c>
      <c r="AH50" s="14"/>
    </row>
    <row r="51" spans="1:34">
      <c r="A51" s="17"/>
      <c r="B51" s="20"/>
      <c r="C51" s="20"/>
      <c r="D51" s="20"/>
      <c r="E51" s="20"/>
      <c r="F51" s="20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4"/>
      <c r="V51" s="4"/>
      <c r="W51" s="13"/>
      <c r="X51" s="8"/>
      <c r="Y51" s="8"/>
      <c r="AA51" s="9"/>
      <c r="AB51" s="9"/>
      <c r="AC51" s="8"/>
      <c r="AE51" s="14"/>
      <c r="AF51" s="14"/>
      <c r="AG51" s="14"/>
      <c r="AH51" s="14"/>
    </row>
    <row r="52" spans="1:34">
      <c r="A52" s="17" t="s">
        <v>88</v>
      </c>
      <c r="B52" s="20"/>
      <c r="C52" s="20"/>
      <c r="D52" s="20"/>
      <c r="E52" s="13">
        <f>AVERAGE(E19:E32,E35:E42,E45:E47)</f>
        <v>4.7754635923948037</v>
      </c>
      <c r="F52" s="13">
        <f>AVERAGE(F19:F32,F35:F42,F45:F47)</f>
        <v>1.6839999999999997</v>
      </c>
      <c r="G52" s="5"/>
      <c r="H52" s="5"/>
      <c r="I52" s="5"/>
      <c r="J52" s="5"/>
      <c r="K52" s="5"/>
      <c r="L52" s="20">
        <f>AVERAGE(L19:L32,L35:L42,L45:L47)</f>
        <v>13.688908057952702</v>
      </c>
      <c r="M52" s="13">
        <f>AVERAGE(M19:M32,M35:M42,M45:M47)</f>
        <v>3.1992509704299819</v>
      </c>
      <c r="N52" s="13">
        <f>AVERAGE(N19:N32,N35:N42,N45:N47)</f>
        <v>1.5762126219648223</v>
      </c>
      <c r="O52" s="5"/>
      <c r="P52" s="5"/>
      <c r="Q52" s="5"/>
      <c r="R52" s="5"/>
      <c r="S52" s="5"/>
      <c r="T52" s="5"/>
      <c r="U52" s="4"/>
      <c r="V52" s="4"/>
      <c r="W52" s="13"/>
      <c r="X52" s="8"/>
      <c r="Y52" s="8"/>
      <c r="AA52" s="24">
        <f>AVERAGE(AA19:AA32,AA35:AA42,AA45:AA47)</f>
        <v>0.5631084882152384</v>
      </c>
      <c r="AB52" s="24">
        <f>AVERAGE(AB19:AB32,AB35:AB42,AB45:AB47)</f>
        <v>0.67343226857672378</v>
      </c>
      <c r="AC52" s="13">
        <f>AVERAGE(AC19:AC32,AC35:AC42,AC45:AC47)</f>
        <v>2.8704950746044018</v>
      </c>
      <c r="AE52" s="14"/>
      <c r="AF52" s="13">
        <f>AVERAGE(AF19:AF32,AF35:AF42,AF45:AF47)</f>
        <v>0.99099417153781399</v>
      </c>
      <c r="AG52" s="14"/>
      <c r="AH52" s="13">
        <f>AVERAGE(AH19:AH32,AH35:AH42,AH45:AH47)</f>
        <v>2.4383718892167873E-2</v>
      </c>
    </row>
    <row r="53" spans="1:34">
      <c r="A53" s="17" t="s">
        <v>89</v>
      </c>
      <c r="B53" s="20"/>
      <c r="C53" s="20"/>
      <c r="D53" s="20"/>
      <c r="E53" s="20">
        <f>STDEV(E19:E32,E35:E42,E45:E47)</f>
        <v>0.73869740066235678</v>
      </c>
      <c r="F53" s="20">
        <f>STDEV(F19:F32,F35:F42,F45:F47)</f>
        <v>0.22854612955229578</v>
      </c>
      <c r="G53" s="5"/>
      <c r="H53" s="5"/>
      <c r="I53" s="5"/>
      <c r="J53" s="5"/>
      <c r="K53" s="5"/>
      <c r="L53" s="20">
        <f>STDEV(L19:L32,L35:L42,L45:L47)</f>
        <v>1.0159906036849926</v>
      </c>
      <c r="M53" s="20">
        <f>STDEV(M19:M32,M35:M42,M45:M47)</f>
        <v>0.3008681333149813</v>
      </c>
      <c r="N53" s="20">
        <f>STDEV(N19:N32,N35:N42,N45:N47)</f>
        <v>0.67899582394419322</v>
      </c>
      <c r="O53" s="5"/>
      <c r="P53" s="5"/>
      <c r="Q53" s="5"/>
      <c r="R53" s="5"/>
      <c r="S53" s="5"/>
      <c r="T53" s="5"/>
      <c r="U53" s="4"/>
      <c r="V53" s="4"/>
      <c r="W53" s="13"/>
      <c r="X53" s="8"/>
      <c r="Y53" s="8"/>
      <c r="AA53" s="24">
        <f>STDEV(AA19:AA32,AA35:AA42,AA45:AA47)</f>
        <v>8.6469911695390256E-2</v>
      </c>
      <c r="AB53" s="24">
        <f>STDEV(AB19:AB32,AB35:AB42,AB45:AB47)</f>
        <v>9.5966727113892952E-2</v>
      </c>
      <c r="AC53" s="20">
        <f>STDEV(AC19:AC32,AC35:AC42,AC45:AC47)</f>
        <v>0.51360583714608044</v>
      </c>
      <c r="AE53" s="14"/>
      <c r="AF53" s="20">
        <f>STDEV(AF19:AF32,AF35:AF42,AF45:AF47)</f>
        <v>0.31248335762824125</v>
      </c>
      <c r="AG53" s="14"/>
      <c r="AH53" s="20">
        <f>STDEV(AH19:AH32,AH35:AH42,AH45:AH47)</f>
        <v>8.0979173891213702E-2</v>
      </c>
    </row>
    <row r="54" spans="1:34">
      <c r="A54" s="17"/>
      <c r="B54" s="20"/>
      <c r="C54" s="20"/>
      <c r="D54" s="20"/>
      <c r="E54" s="20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4"/>
      <c r="V54" s="4"/>
      <c r="W54" s="13"/>
      <c r="X54" s="8"/>
      <c r="Y54" s="8"/>
      <c r="AA54" s="9"/>
      <c r="AB54" s="9"/>
      <c r="AC54" s="8"/>
      <c r="AE54" s="14"/>
      <c r="AF54" s="14"/>
      <c r="AG54" s="14"/>
      <c r="AH54" s="14"/>
    </row>
    <row r="55" spans="1:34">
      <c r="A55" s="17" t="s">
        <v>38</v>
      </c>
      <c r="B55" s="18" t="s">
        <v>78</v>
      </c>
      <c r="C55" s="7"/>
      <c r="D55" s="7"/>
      <c r="E55" s="8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4"/>
      <c r="V55" s="4"/>
      <c r="W55" s="13"/>
      <c r="X55" s="8"/>
      <c r="Y55" s="8"/>
      <c r="AA55" s="9"/>
      <c r="AB55" s="9"/>
      <c r="AC55" s="8"/>
      <c r="AE55" s="14"/>
      <c r="AF55" s="14"/>
      <c r="AG55" s="14"/>
      <c r="AH55" s="14"/>
    </row>
    <row r="56" spans="1:34">
      <c r="A56" s="17" t="s">
        <v>52</v>
      </c>
      <c r="B56" s="18" t="s">
        <v>79</v>
      </c>
      <c r="C56" s="7"/>
      <c r="D56" s="7"/>
      <c r="E56" s="8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4"/>
      <c r="V56" s="4"/>
      <c r="W56" s="13"/>
      <c r="X56" s="8"/>
      <c r="Y56" s="8"/>
      <c r="AA56" s="9"/>
      <c r="AB56" s="9"/>
      <c r="AC56" s="8"/>
      <c r="AE56" s="14"/>
      <c r="AF56" s="14"/>
      <c r="AG56" s="14"/>
      <c r="AH56" s="14"/>
    </row>
    <row r="57" spans="1:34">
      <c r="A57" s="17" t="s">
        <v>58</v>
      </c>
      <c r="B57" s="18" t="s">
        <v>80</v>
      </c>
      <c r="C57" s="7"/>
      <c r="D57" s="7"/>
      <c r="E57" s="8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4"/>
      <c r="V57" s="4"/>
      <c r="W57" s="13"/>
      <c r="X57" s="8"/>
      <c r="Y57" s="8"/>
      <c r="AA57" s="9"/>
      <c r="AB57" s="9"/>
      <c r="AC57" s="8"/>
      <c r="AE57" s="14"/>
      <c r="AF57" s="14"/>
      <c r="AG57" s="14"/>
      <c r="AH57" s="14"/>
    </row>
    <row r="58" spans="1:34">
      <c r="A58" s="17" t="s">
        <v>62</v>
      </c>
      <c r="B58" s="18" t="s">
        <v>57</v>
      </c>
      <c r="C58" s="7"/>
      <c r="D58" s="7"/>
      <c r="E58" s="8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4"/>
      <c r="V58" s="4"/>
      <c r="W58" s="13"/>
      <c r="X58" s="8"/>
      <c r="Y58" s="8"/>
      <c r="AA58" s="9"/>
      <c r="AB58" s="9"/>
      <c r="AC58" s="8"/>
      <c r="AE58" s="14"/>
      <c r="AF58" s="14"/>
      <c r="AG58" s="14"/>
      <c r="AH58" s="14"/>
    </row>
    <row r="59" spans="1:34">
      <c r="A59" s="17" t="s">
        <v>63</v>
      </c>
      <c r="B59" s="18" t="s">
        <v>67</v>
      </c>
      <c r="C59" s="7"/>
      <c r="D59" s="7"/>
      <c r="E59" s="8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4"/>
      <c r="V59" s="4"/>
      <c r="W59" s="13"/>
      <c r="X59" s="8"/>
      <c r="Y59" s="8"/>
      <c r="AA59" s="9"/>
      <c r="AB59" s="9"/>
      <c r="AC59" s="8"/>
      <c r="AE59" s="14"/>
      <c r="AF59" s="14"/>
      <c r="AG59" s="14"/>
      <c r="AH59" s="14"/>
    </row>
    <row r="60" spans="1:34">
      <c r="A60" s="17" t="s">
        <v>64</v>
      </c>
      <c r="B60" s="18" t="s">
        <v>68</v>
      </c>
      <c r="C60" s="7"/>
      <c r="D60" s="7"/>
      <c r="E60" s="8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4"/>
      <c r="V60" s="4"/>
      <c r="W60" s="13"/>
      <c r="X60" s="8"/>
      <c r="Y60" s="8"/>
      <c r="AA60" s="9"/>
      <c r="AB60" s="9"/>
      <c r="AC60" s="8"/>
      <c r="AE60" s="14"/>
      <c r="AF60" s="14"/>
      <c r="AG60" s="14"/>
      <c r="AH60" s="14"/>
    </row>
    <row r="61" spans="1:34">
      <c r="A61" s="17" t="s">
        <v>69</v>
      </c>
      <c r="B61" s="18" t="s">
        <v>75</v>
      </c>
      <c r="C61" s="7"/>
      <c r="D61" s="7"/>
      <c r="E61" s="8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4"/>
      <c r="V61" s="4"/>
      <c r="W61" s="13"/>
      <c r="X61" s="8"/>
      <c r="Y61" s="8"/>
      <c r="AA61" s="9"/>
      <c r="AB61" s="9"/>
      <c r="AC61" s="8"/>
      <c r="AE61" s="14"/>
      <c r="AF61" s="14"/>
      <c r="AG61" s="14"/>
      <c r="AH61" s="14"/>
    </row>
    <row r="62" spans="1:34">
      <c r="A62" s="17" t="s">
        <v>71</v>
      </c>
      <c r="B62" s="18" t="s">
        <v>70</v>
      </c>
      <c r="C62" s="7"/>
      <c r="D62" s="7"/>
      <c r="E62" s="8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4"/>
      <c r="V62" s="4"/>
      <c r="W62" s="13"/>
      <c r="X62" s="8"/>
      <c r="Y62" s="8"/>
      <c r="AA62" s="9"/>
      <c r="AB62" s="9"/>
      <c r="AC62" s="8"/>
      <c r="AE62" s="14"/>
      <c r="AF62" s="14"/>
      <c r="AG62" s="14"/>
      <c r="AH62" s="14"/>
    </row>
    <row r="63" spans="1:34">
      <c r="A63" s="17"/>
      <c r="C63" s="4"/>
      <c r="E63" s="3"/>
      <c r="U63" s="3"/>
      <c r="V63" s="3"/>
    </row>
    <row r="64" spans="1:34">
      <c r="A64" s="17"/>
      <c r="B64" s="22"/>
      <c r="C64" s="4"/>
      <c r="E64" s="22"/>
      <c r="U64" s="22"/>
      <c r="V64" s="22"/>
      <c r="AE64" s="22"/>
      <c r="AF64" s="22"/>
      <c r="AH64" s="22"/>
    </row>
    <row r="65" spans="1:34">
      <c r="A65" s="17"/>
      <c r="B65" s="22"/>
      <c r="C65" s="4"/>
      <c r="E65" s="22"/>
      <c r="U65" s="22"/>
      <c r="V65" s="22"/>
      <c r="AE65" s="22"/>
      <c r="AF65" s="22"/>
      <c r="AH65" s="22"/>
    </row>
    <row r="66" spans="1:34">
      <c r="A66" s="17"/>
      <c r="B66" s="22"/>
      <c r="C66" s="4"/>
      <c r="E66" s="22"/>
      <c r="U66" s="22"/>
      <c r="V66" s="22"/>
      <c r="AE66" s="22"/>
      <c r="AF66" s="22"/>
      <c r="AH66" s="22"/>
    </row>
    <row r="67" spans="1:34">
      <c r="A67" s="17"/>
      <c r="B67" s="22"/>
      <c r="C67" s="4"/>
      <c r="E67" s="22"/>
      <c r="U67" s="22"/>
      <c r="V67" s="22"/>
      <c r="AE67" s="22"/>
      <c r="AF67" s="22"/>
      <c r="AH67" s="22"/>
    </row>
    <row r="68" spans="1:34"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4">
        <f>AVERAGE(S18:S36)</f>
        <v>20.299999999999997</v>
      </c>
      <c r="U68" s="3"/>
      <c r="V68" s="3"/>
      <c r="Y68" s="11">
        <f>AVERAGE(Y18:Y36)</f>
        <v>3.3752953078122481</v>
      </c>
      <c r="AA68" s="9">
        <f>AVERAGE(AB18:AB36)</f>
        <v>0.58374116119893149</v>
      </c>
      <c r="AB68" s="9">
        <f>AVERAGE(AA18:AA36)</f>
        <v>0.49821816438386174</v>
      </c>
      <c r="AC68" s="11">
        <f>AVERAGE(AC18:AC36)</f>
        <v>3.4437713495124238</v>
      </c>
    </row>
  </sheetData>
  <mergeCells count="5">
    <mergeCell ref="W14:Y14"/>
    <mergeCell ref="AA14:AB14"/>
    <mergeCell ref="B14:C14"/>
    <mergeCell ref="H14:K14"/>
    <mergeCell ref="P14:Q14"/>
  </mergeCell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SARAH</cp:lastModifiedBy>
  <dcterms:created xsi:type="dcterms:W3CDTF">2024-01-03T11:17:17Z</dcterms:created>
  <dcterms:modified xsi:type="dcterms:W3CDTF">2024-02-04T10:34:58Z</dcterms:modified>
</cp:coreProperties>
</file>