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k Wilcoxen\Documents\"/>
    </mc:Choice>
  </mc:AlternateContent>
  <xr:revisionPtr revIDLastSave="0" documentId="13_ncr:1_{E2E22D8D-6B34-42D4-A7ED-DBB99ECC15C4}" xr6:coauthVersionLast="47" xr6:coauthVersionMax="47" xr10:uidLastSave="{00000000-0000-0000-0000-000000000000}"/>
  <bookViews>
    <workbookView xWindow="-120" yWindow="-120" windowWidth="29040" windowHeight="15720" activeTab="1" xr2:uid="{E877FB3D-7F20-48B5-9130-C2546BF7569E}"/>
  </bookViews>
  <sheets>
    <sheet name="Current" sheetId="3" r:id="rId1"/>
    <sheet name="New Rad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4" l="1"/>
  <c r="B30" i="4"/>
  <c r="B29" i="4"/>
  <c r="B28" i="4"/>
  <c r="B31" i="3"/>
  <c r="B30" i="3"/>
  <c r="B29" i="3"/>
  <c r="B28" i="3"/>
  <c r="B14" i="4"/>
  <c r="B22" i="4" s="1"/>
  <c r="B23" i="4" s="1"/>
  <c r="F13" i="4"/>
  <c r="G13" i="4" s="1"/>
  <c r="I13" i="4" s="1"/>
  <c r="E12" i="4"/>
  <c r="B27" i="4" s="1"/>
  <c r="F9" i="4"/>
  <c r="G9" i="4" s="1"/>
  <c r="I9" i="4" s="1"/>
  <c r="F8" i="4"/>
  <c r="G8" i="4" s="1"/>
  <c r="I8" i="4" s="1"/>
  <c r="F7" i="4"/>
  <c r="G7" i="4" s="1"/>
  <c r="I7" i="4" s="1"/>
  <c r="F6" i="4"/>
  <c r="G6" i="4" s="1"/>
  <c r="I6" i="4" s="1"/>
  <c r="F5" i="4"/>
  <c r="G5" i="4" s="1"/>
  <c r="I5" i="4" s="1"/>
  <c r="F4" i="4"/>
  <c r="G4" i="4" s="1"/>
  <c r="I4" i="4" s="1"/>
  <c r="F3" i="4"/>
  <c r="G3" i="4" s="1"/>
  <c r="I3" i="4" s="1"/>
  <c r="B14" i="3"/>
  <c r="B22" i="3" s="1"/>
  <c r="B23" i="3" s="1"/>
  <c r="F13" i="3"/>
  <c r="G13" i="3" s="1"/>
  <c r="I13" i="3" s="1"/>
  <c r="E12" i="3"/>
  <c r="B27" i="3" s="1"/>
  <c r="F9" i="3"/>
  <c r="G9" i="3" s="1"/>
  <c r="I9" i="3" s="1"/>
  <c r="F8" i="3"/>
  <c r="G8" i="3" s="1"/>
  <c r="I8" i="3" s="1"/>
  <c r="F7" i="3"/>
  <c r="G7" i="3" s="1"/>
  <c r="I7" i="3" s="1"/>
  <c r="F6" i="3"/>
  <c r="G6" i="3" s="1"/>
  <c r="I6" i="3" s="1"/>
  <c r="F5" i="3"/>
  <c r="G5" i="3" s="1"/>
  <c r="I5" i="3" s="1"/>
  <c r="F4" i="3"/>
  <c r="G4" i="3" s="1"/>
  <c r="I4" i="3" s="1"/>
  <c r="F3" i="3"/>
  <c r="G3" i="3" s="1"/>
  <c r="I3" i="3" s="1"/>
  <c r="K5" i="4" l="1"/>
  <c r="J5" i="4"/>
  <c r="K9" i="4"/>
  <c r="J9" i="4"/>
  <c r="K6" i="4"/>
  <c r="J6" i="4"/>
  <c r="K3" i="4"/>
  <c r="J3" i="4"/>
  <c r="J7" i="4"/>
  <c r="K7" i="4"/>
  <c r="K13" i="4"/>
  <c r="J13" i="4"/>
  <c r="K4" i="4"/>
  <c r="J4" i="4"/>
  <c r="K8" i="4"/>
  <c r="J8" i="4"/>
  <c r="C12" i="4"/>
  <c r="N12" i="4" s="1"/>
  <c r="O12" i="4" s="1"/>
  <c r="C11" i="4"/>
  <c r="C10" i="4"/>
  <c r="C9" i="4"/>
  <c r="N9" i="4" s="1"/>
  <c r="O9" i="4" s="1"/>
  <c r="C8" i="4"/>
  <c r="N8" i="4" s="1"/>
  <c r="O8" i="4" s="1"/>
  <c r="C7" i="4"/>
  <c r="N7" i="4" s="1"/>
  <c r="O7" i="4" s="1"/>
  <c r="C5" i="4"/>
  <c r="N5" i="4" s="1"/>
  <c r="O5" i="4" s="1"/>
  <c r="C4" i="4"/>
  <c r="N4" i="4" s="1"/>
  <c r="O4" i="4" s="1"/>
  <c r="C3" i="4"/>
  <c r="N3" i="4" s="1"/>
  <c r="O3" i="4" s="1"/>
  <c r="C13" i="4"/>
  <c r="N13" i="4" s="1"/>
  <c r="O13" i="4" s="1"/>
  <c r="C6" i="4"/>
  <c r="N6" i="4" s="1"/>
  <c r="O6" i="4" s="1"/>
  <c r="F12" i="4"/>
  <c r="G12" i="4" s="1"/>
  <c r="I12" i="4" s="1"/>
  <c r="F12" i="3"/>
  <c r="G12" i="3" s="1"/>
  <c r="I12" i="3" s="1"/>
  <c r="J8" i="3"/>
  <c r="K8" i="3"/>
  <c r="J9" i="3"/>
  <c r="K9" i="3"/>
  <c r="J6" i="3"/>
  <c r="K6" i="3"/>
  <c r="C10" i="3"/>
  <c r="C9" i="3"/>
  <c r="N9" i="3" s="1"/>
  <c r="O9" i="3" s="1"/>
  <c r="C8" i="3"/>
  <c r="N8" i="3" s="1"/>
  <c r="O8" i="3" s="1"/>
  <c r="C7" i="3"/>
  <c r="N7" i="3" s="1"/>
  <c r="O7" i="3" s="1"/>
  <c r="C6" i="3"/>
  <c r="N6" i="3" s="1"/>
  <c r="O6" i="3" s="1"/>
  <c r="C5" i="3"/>
  <c r="N5" i="3" s="1"/>
  <c r="O5" i="3" s="1"/>
  <c r="C4" i="3"/>
  <c r="N4" i="3" s="1"/>
  <c r="O4" i="3" s="1"/>
  <c r="C3" i="3"/>
  <c r="N3" i="3" s="1"/>
  <c r="O3" i="3" s="1"/>
  <c r="C13" i="3"/>
  <c r="N13" i="3" s="1"/>
  <c r="O13" i="3" s="1"/>
  <c r="C12" i="3"/>
  <c r="N12" i="3" s="1"/>
  <c r="O12" i="3" s="1"/>
  <c r="C11" i="3"/>
  <c r="J4" i="3"/>
  <c r="K4" i="3"/>
  <c r="K13" i="3"/>
  <c r="J13" i="3"/>
  <c r="J5" i="3"/>
  <c r="K5" i="3"/>
  <c r="J3" i="3"/>
  <c r="K3" i="3"/>
  <c r="J7" i="3"/>
  <c r="K7" i="3"/>
  <c r="K12" i="3"/>
  <c r="J12" i="3"/>
  <c r="K12" i="4" l="1"/>
  <c r="J12" i="4"/>
</calcChain>
</file>

<file path=xl/sharedStrings.xml><?xml version="1.0" encoding="utf-8"?>
<sst xmlns="http://schemas.openxmlformats.org/spreadsheetml/2006/main" count="96" uniqueCount="48">
  <si>
    <t>design temp</t>
  </si>
  <si>
    <t>room</t>
  </si>
  <si>
    <t>heat loss (-2°c)</t>
  </si>
  <si>
    <t>heat loss (15°c)</t>
  </si>
  <si>
    <t>rad output (@DT50)</t>
  </si>
  <si>
    <t>Output bboe</t>
  </si>
  <si>
    <t>f1 factor</t>
  </si>
  <si>
    <t>room temp</t>
  </si>
  <si>
    <t>MWT</t>
  </si>
  <si>
    <t>Flow temp</t>
  </si>
  <si>
    <t>calculated DT</t>
  </si>
  <si>
    <t>DT</t>
  </si>
  <si>
    <t>Minimum MWT</t>
  </si>
  <si>
    <t>Minimum flow</t>
  </si>
  <si>
    <t>bathroom</t>
  </si>
  <si>
    <t>master bedroom 1</t>
  </si>
  <si>
    <t>Zak office bedroom 3</t>
  </si>
  <si>
    <t>guest bedroom 4</t>
  </si>
  <si>
    <t>dining room</t>
  </si>
  <si>
    <t>hall</t>
  </si>
  <si>
    <t>Cold room no rad</t>
  </si>
  <si>
    <t>kitchen</t>
  </si>
  <si>
    <t>lounge</t>
  </si>
  <si>
    <t>see 2 separate below</t>
  </si>
  <si>
    <t>toilet</t>
  </si>
  <si>
    <t>Lounge Bay</t>
  </si>
  <si>
    <t>Lounge Vert</t>
  </si>
  <si>
    <t>((Fn^(1/1.32))*50)+Gn</t>
  </si>
  <si>
    <t>(Hn+(K3/2))</t>
  </si>
  <si>
    <t>(B1-Hn)*2</t>
  </si>
  <si>
    <t>House load per °c</t>
  </si>
  <si>
    <t>House Heatloss @15</t>
  </si>
  <si>
    <t>Total radiator output @dt50</t>
  </si>
  <si>
    <t>Total radiator output @dt20</t>
  </si>
  <si>
    <t>Total radiator output @dt15</t>
  </si>
  <si>
    <t>Total radiator output @dt10</t>
  </si>
  <si>
    <t>Total radiator output @dt5</t>
  </si>
  <si>
    <t>Output of current radiators</t>
  </si>
  <si>
    <t>Flow Temp neded</t>
  </si>
  <si>
    <t>40°c</t>
  </si>
  <si>
    <t>Minimum flow temprature</t>
  </si>
  <si>
    <t>Minimum Temp without cycling  (external 15°c)</t>
  </si>
  <si>
    <t>27°c</t>
  </si>
  <si>
    <t>~30°c</t>
  </si>
  <si>
    <t>26°c</t>
  </si>
  <si>
    <t>office / bedroom 2</t>
  </si>
  <si>
    <t>landing (upstairs, no radiator)</t>
  </si>
  <si>
    <t>Total Heat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</si>
</sst>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222222"/>
      <name val="Arial"/>
      <family val="2"/>
    </font>
    <font>
      <sz val="11"/>
      <color theme="7" tint="-0.49998474074526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14">
    <xf numFmtId="0" fontId="0" fillId="0" borderId="0" xfId="0"/>
    <xf numFmtId="0" fontId="3" fillId="4" borderId="1" xfId="3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4" fillId="0" borderId="0" xfId="0" applyFont="1"/>
    <xf numFmtId="0" fontId="5" fillId="5" borderId="0" xfId="0" applyFont="1" applyFill="1"/>
    <xf numFmtId="2" fontId="0" fillId="5" borderId="0" xfId="0" applyNumberFormat="1" applyFill="1"/>
    <xf numFmtId="0" fontId="5" fillId="3" borderId="0" xfId="2" applyFont="1"/>
    <xf numFmtId="0" fontId="2" fillId="3" borderId="0" xfId="2"/>
    <xf numFmtId="0" fontId="1" fillId="2" borderId="0" xfId="1"/>
    <xf numFmtId="2" fontId="1" fillId="2" borderId="0" xfId="1" applyNumberFormat="1"/>
    <xf numFmtId="17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6" fillId="0" borderId="0" xfId="0" applyFont="1"/>
  </cellXfs>
  <cellStyles count="4">
    <cellStyle name="Calculation" xfId="3" builtinId="22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8576-8AFC-4717-827E-0092B347633D}">
  <dimension ref="A1:O31"/>
  <sheetViews>
    <sheetView workbookViewId="0">
      <selection activeCell="C19" sqref="C19"/>
    </sheetView>
  </sheetViews>
  <sheetFormatPr defaultRowHeight="15" x14ac:dyDescent="0.25"/>
  <cols>
    <col min="1" max="1" width="27.7109375" bestFit="1" customWidth="1"/>
    <col min="2" max="2" width="14.140625" bestFit="1" customWidth="1"/>
    <col min="3" max="3" width="14.42578125" bestFit="1" customWidth="1"/>
    <col min="4" max="4" width="20" bestFit="1" customWidth="1"/>
    <col min="5" max="5" width="10.28515625" bestFit="1" customWidth="1"/>
    <col min="6" max="6" width="9" bestFit="1" customWidth="1"/>
    <col min="7" max="7" width="6.140625" bestFit="1" customWidth="1"/>
    <col min="8" max="8" width="5.7109375" bestFit="1" customWidth="1"/>
    <col min="9" max="9" width="25" bestFit="1" customWidth="1"/>
    <col min="10" max="10" width="11.5703125" bestFit="1" customWidth="1"/>
    <col min="11" max="11" width="10" bestFit="1" customWidth="1"/>
    <col min="12" max="13" width="3.28515625" bestFit="1" customWidth="1"/>
    <col min="14" max="14" width="9.5703125" bestFit="1" customWidth="1"/>
    <col min="15" max="15" width="9.5703125" customWidth="1"/>
  </cols>
  <sheetData>
    <row r="1" spans="1:15" x14ac:dyDescent="0.25">
      <c r="A1" t="s">
        <v>0</v>
      </c>
      <c r="B1">
        <v>40</v>
      </c>
    </row>
    <row r="2" spans="1:15" s="2" customFormat="1" ht="30" x14ac:dyDescent="0.25">
      <c r="A2" s="1" t="s">
        <v>1</v>
      </c>
      <c r="B2" s="1" t="s">
        <v>2</v>
      </c>
      <c r="C2" s="1" t="s">
        <v>3</v>
      </c>
      <c r="D2" s="1"/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N2" s="2" t="s">
        <v>12</v>
      </c>
      <c r="O2" s="2" t="s">
        <v>13</v>
      </c>
    </row>
    <row r="3" spans="1:15" x14ac:dyDescent="0.25">
      <c r="A3" t="s">
        <v>14</v>
      </c>
      <c r="B3">
        <v>308.11</v>
      </c>
      <c r="C3" s="3">
        <f>SUM($B$23/($B$14/1000))*B3</f>
        <v>80.376521739130425</v>
      </c>
      <c r="E3" s="4">
        <v>988</v>
      </c>
      <c r="F3" s="4">
        <f>SUM(E3*0.96)</f>
        <v>948.48</v>
      </c>
      <c r="G3" s="3">
        <f>SUM($B3/$F3)</f>
        <v>0.32484606950067479</v>
      </c>
      <c r="H3">
        <v>18</v>
      </c>
      <c r="I3" s="3">
        <f>((G3^(1/1.32))*50)+H3</f>
        <v>39.331863921558451</v>
      </c>
      <c r="J3" s="3">
        <f>SUM(I3+($L$3/2))</f>
        <v>41.831863921558451</v>
      </c>
      <c r="K3" s="3">
        <f>SUM($B$1-I3)*2</f>
        <v>1.3362721568830978</v>
      </c>
      <c r="L3">
        <v>5</v>
      </c>
      <c r="N3" s="3">
        <f>(((C3/E3)*(1/1.32))*50)+H3</f>
        <v>21.081543742298891</v>
      </c>
      <c r="O3" s="3">
        <f>SUM(N3+($L$3/2))</f>
        <v>23.581543742298891</v>
      </c>
    </row>
    <row r="4" spans="1:15" x14ac:dyDescent="0.25">
      <c r="A4" t="s">
        <v>15</v>
      </c>
      <c r="B4">
        <v>391.75</v>
      </c>
      <c r="C4" s="3">
        <f>SUM($B$23/($B$14/1000))*B4</f>
        <v>102.19565217391302</v>
      </c>
      <c r="E4">
        <v>2690</v>
      </c>
      <c r="F4" s="4">
        <f t="shared" ref="F4:F13" si="0">SUM(E4*0.96)</f>
        <v>2582.4</v>
      </c>
      <c r="G4" s="3">
        <f t="shared" ref="G4:G13" si="1">SUM($B4/$F4)</f>
        <v>0.15169996902106567</v>
      </c>
      <c r="H4">
        <v>18</v>
      </c>
      <c r="I4" s="3">
        <f>((G4^(1/1.32))*50)+H4</f>
        <v>29.981314495732974</v>
      </c>
      <c r="J4" s="3">
        <f t="shared" ref="J4:J13" si="2">SUM(I4+($L$3/2))</f>
        <v>32.481314495732974</v>
      </c>
      <c r="K4" s="3">
        <f t="shared" ref="K4" si="3">SUM($B$1-I4)*2</f>
        <v>20.037371008534052</v>
      </c>
      <c r="N4" s="3">
        <f t="shared" ref="N4:N13" si="4">(((C4/E4)*(1/1.32))*50)+H4</f>
        <v>19.439051089527894</v>
      </c>
      <c r="O4" s="3">
        <f t="shared" ref="O4:O13" si="5">SUM(N4+($L$3/2))</f>
        <v>21.939051089527894</v>
      </c>
    </row>
    <row r="5" spans="1:15" x14ac:dyDescent="0.25">
      <c r="A5" t="s">
        <v>45</v>
      </c>
      <c r="B5">
        <v>489.21</v>
      </c>
      <c r="C5" s="3">
        <f>SUM($B$23/($B$14/1000))*B5</f>
        <v>127.61999999999996</v>
      </c>
      <c r="E5">
        <v>2078</v>
      </c>
      <c r="F5" s="4">
        <f t="shared" si="0"/>
        <v>1994.8799999999999</v>
      </c>
      <c r="G5" s="3">
        <f t="shared" si="1"/>
        <v>0.2452327959576516</v>
      </c>
      <c r="H5">
        <v>20</v>
      </c>
      <c r="I5" s="3">
        <f>((G5^(1/1.32))*50)+H5</f>
        <v>37.23969236090845</v>
      </c>
      <c r="J5" s="3">
        <f t="shared" si="2"/>
        <v>39.73969236090845</v>
      </c>
      <c r="K5" s="3">
        <f>SUM($B$1-I5)*2</f>
        <v>5.5206152781831008</v>
      </c>
      <c r="N5" s="3">
        <f t="shared" si="4"/>
        <v>22.326319013037011</v>
      </c>
      <c r="O5" s="3">
        <f t="shared" si="5"/>
        <v>24.826319013037011</v>
      </c>
    </row>
    <row r="6" spans="1:15" x14ac:dyDescent="0.25">
      <c r="A6" t="s">
        <v>16</v>
      </c>
      <c r="B6">
        <v>465.95</v>
      </c>
      <c r="C6" s="3">
        <f>SUM($B$23/($B$14/1000))*B6</f>
        <v>121.55217391304345</v>
      </c>
      <c r="E6">
        <v>2430</v>
      </c>
      <c r="F6" s="4">
        <f t="shared" si="0"/>
        <v>2332.7999999999997</v>
      </c>
      <c r="G6" s="3">
        <f t="shared" si="1"/>
        <v>0.19973851165980797</v>
      </c>
      <c r="H6">
        <v>20</v>
      </c>
      <c r="I6" s="3">
        <f>((G6^(1/1.32))*50)+H6</f>
        <v>34.757637205668956</v>
      </c>
      <c r="J6" s="3">
        <f t="shared" si="2"/>
        <v>37.257637205668956</v>
      </c>
      <c r="K6" s="3">
        <f t="shared" ref="K6:K13" si="6">SUM($B$1-I6)*2</f>
        <v>10.484725588662087</v>
      </c>
      <c r="N6" s="3">
        <f t="shared" si="4"/>
        <v>21.894752679776833</v>
      </c>
      <c r="O6" s="3">
        <f t="shared" si="5"/>
        <v>24.394752679776833</v>
      </c>
    </row>
    <row r="7" spans="1:15" x14ac:dyDescent="0.25">
      <c r="A7" t="s">
        <v>17</v>
      </c>
      <c r="B7">
        <v>359.39</v>
      </c>
      <c r="C7" s="3">
        <f>SUM($B$23/($B$14/1000))*B7</f>
        <v>93.753913043478235</v>
      </c>
      <c r="E7">
        <v>2771</v>
      </c>
      <c r="F7" s="4">
        <f t="shared" si="0"/>
        <v>2660.16</v>
      </c>
      <c r="G7" s="3">
        <f t="shared" si="1"/>
        <v>0.13510089618669555</v>
      </c>
      <c r="H7">
        <v>18</v>
      </c>
      <c r="I7" s="3">
        <f t="shared" ref="I7:I12" si="7">((G7^(1/1.32))*50)+H7</f>
        <v>28.974323402167588</v>
      </c>
      <c r="J7" s="3">
        <f t="shared" si="2"/>
        <v>31.474323402167588</v>
      </c>
      <c r="K7" s="3">
        <f t="shared" si="6"/>
        <v>22.051353195664824</v>
      </c>
      <c r="N7" s="3">
        <f t="shared" si="4"/>
        <v>19.281589529043753</v>
      </c>
      <c r="O7" s="3">
        <f t="shared" si="5"/>
        <v>21.781589529043753</v>
      </c>
    </row>
    <row r="8" spans="1:15" x14ac:dyDescent="0.25">
      <c r="A8" t="s">
        <v>18</v>
      </c>
      <c r="B8">
        <v>708.68</v>
      </c>
      <c r="C8" s="3">
        <f>SUM($B$23/($B$14/1000))*B8</f>
        <v>184.87304347826083</v>
      </c>
      <c r="E8">
        <v>2771</v>
      </c>
      <c r="F8" s="4">
        <f t="shared" si="0"/>
        <v>2660.16</v>
      </c>
      <c r="G8" s="3">
        <f t="shared" si="1"/>
        <v>0.26640502826897627</v>
      </c>
      <c r="H8">
        <v>21</v>
      </c>
      <c r="I8" s="3">
        <f t="shared" si="7"/>
        <v>39.355865475093388</v>
      </c>
      <c r="J8" s="3">
        <f t="shared" si="2"/>
        <v>41.855865475093388</v>
      </c>
      <c r="K8" s="3">
        <f t="shared" si="6"/>
        <v>1.2882690498132234</v>
      </c>
      <c r="N8" s="3">
        <f t="shared" si="4"/>
        <v>23.527162323500171</v>
      </c>
      <c r="O8" s="3">
        <f t="shared" si="5"/>
        <v>26.027162323500171</v>
      </c>
    </row>
    <row r="9" spans="1:15" x14ac:dyDescent="0.25">
      <c r="A9" t="s">
        <v>19</v>
      </c>
      <c r="B9">
        <v>316.22000000000003</v>
      </c>
      <c r="C9" s="3">
        <f>SUM($B$23/($B$14/1000))*B9</f>
        <v>82.492173913043459</v>
      </c>
      <c r="E9">
        <v>942</v>
      </c>
      <c r="F9">
        <f t="shared" ref="F9" si="8">SUM(E9*0.96)</f>
        <v>904.31999999999994</v>
      </c>
      <c r="G9" s="3">
        <f>SUM(B9/F9)</f>
        <v>0.34967710544939851</v>
      </c>
      <c r="H9">
        <v>18</v>
      </c>
      <c r="I9" s="3">
        <f t="shared" si="7"/>
        <v>40.556064953576822</v>
      </c>
      <c r="J9" s="3">
        <f t="shared" si="2"/>
        <v>43.056064953576822</v>
      </c>
      <c r="K9" s="3">
        <f>SUM($B$1-I9)*2</f>
        <v>-1.1121299071536441</v>
      </c>
      <c r="N9" s="3">
        <f t="shared" si="4"/>
        <v>21.317095071456741</v>
      </c>
      <c r="O9" s="3">
        <f t="shared" si="5"/>
        <v>23.817095071456741</v>
      </c>
    </row>
    <row r="10" spans="1:15" x14ac:dyDescent="0.25">
      <c r="A10" s="5" t="s">
        <v>46</v>
      </c>
      <c r="B10" s="5">
        <v>296.02999999999997</v>
      </c>
      <c r="C10" s="6">
        <f>SUM($B$23/($B$14/1000))*B10</f>
        <v>77.225217391304326</v>
      </c>
      <c r="D10" s="7" t="s">
        <v>20</v>
      </c>
      <c r="N10" s="3"/>
      <c r="O10" s="3"/>
    </row>
    <row r="11" spans="1:15" x14ac:dyDescent="0.25">
      <c r="A11" s="8" t="s">
        <v>21</v>
      </c>
      <c r="B11" s="8">
        <v>549.69000000000005</v>
      </c>
      <c r="C11" s="6">
        <f>SUM($B$23/($B$14/1000))*B11</f>
        <v>143.39739130434779</v>
      </c>
      <c r="D11" s="8" t="s">
        <v>20</v>
      </c>
      <c r="G11" s="3"/>
      <c r="I11" s="3"/>
      <c r="J11" s="3"/>
      <c r="K11" s="3"/>
      <c r="N11" s="3"/>
      <c r="O11" s="3"/>
    </row>
    <row r="12" spans="1:15" x14ac:dyDescent="0.25">
      <c r="A12" t="s">
        <v>22</v>
      </c>
      <c r="B12">
        <v>1468.67</v>
      </c>
      <c r="C12" s="3">
        <f>SUM($B$23/($B$14/1000))*B12</f>
        <v>383.13130434782602</v>
      </c>
      <c r="D12" t="s">
        <v>23</v>
      </c>
      <c r="E12">
        <f>SUM(E16+E17)</f>
        <v>5170</v>
      </c>
      <c r="F12" s="4">
        <f t="shared" si="0"/>
        <v>4963.2</v>
      </c>
      <c r="G12" s="3">
        <f t="shared" si="1"/>
        <v>0.29591191166989039</v>
      </c>
      <c r="H12">
        <v>21</v>
      </c>
      <c r="I12" s="3">
        <f t="shared" si="7"/>
        <v>40.876297798465821</v>
      </c>
      <c r="J12" s="3">
        <f t="shared" si="2"/>
        <v>43.376297798465821</v>
      </c>
      <c r="K12" s="3">
        <f t="shared" si="6"/>
        <v>-1.7525955969316414</v>
      </c>
      <c r="N12" s="3">
        <f t="shared" si="4"/>
        <v>23.807069517817141</v>
      </c>
      <c r="O12" s="3">
        <f t="shared" si="5"/>
        <v>26.307069517817141</v>
      </c>
    </row>
    <row r="13" spans="1:15" x14ac:dyDescent="0.25">
      <c r="A13" t="s">
        <v>24</v>
      </c>
      <c r="B13">
        <v>96.36</v>
      </c>
      <c r="C13" s="3">
        <f>SUM($B$23/($B$14/1000))*B13</f>
        <v>25.137391304347819</v>
      </c>
      <c r="E13">
        <v>559</v>
      </c>
      <c r="F13" s="4">
        <f t="shared" si="0"/>
        <v>536.64</v>
      </c>
      <c r="G13" s="3">
        <f t="shared" si="1"/>
        <v>0.17956171735241502</v>
      </c>
      <c r="H13">
        <v>20</v>
      </c>
      <c r="I13" s="3">
        <f>((G13^(1/1.32))*50)+H13</f>
        <v>33.613833077324763</v>
      </c>
      <c r="J13" s="3">
        <f t="shared" si="2"/>
        <v>36.113833077324763</v>
      </c>
      <c r="K13" s="3">
        <f t="shared" si="6"/>
        <v>12.772333845350474</v>
      </c>
      <c r="N13" s="3">
        <f t="shared" si="4"/>
        <v>21.70335225946955</v>
      </c>
      <c r="O13" s="3">
        <f t="shared" si="5"/>
        <v>24.20335225946955</v>
      </c>
    </row>
    <row r="14" spans="1:15" x14ac:dyDescent="0.25">
      <c r="A14" s="9" t="s">
        <v>47</v>
      </c>
      <c r="B14" s="9">
        <f>SUM(B3:B13)</f>
        <v>5450.0599999999986</v>
      </c>
      <c r="C14" s="9"/>
      <c r="D14" s="9"/>
      <c r="E14" s="9"/>
      <c r="F14" s="9"/>
      <c r="G14" s="10"/>
      <c r="H14" s="9"/>
      <c r="I14" s="3"/>
      <c r="J14" s="3"/>
      <c r="K14" s="3"/>
    </row>
    <row r="15" spans="1:15" x14ac:dyDescent="0.25">
      <c r="F15" s="4"/>
      <c r="G15" s="3"/>
      <c r="I15" s="3"/>
      <c r="J15" s="3"/>
      <c r="K15" s="3"/>
    </row>
    <row r="16" spans="1:15" x14ac:dyDescent="0.25">
      <c r="A16" t="s">
        <v>25</v>
      </c>
      <c r="E16">
        <v>3118</v>
      </c>
      <c r="F16" s="4"/>
      <c r="G16" s="3"/>
      <c r="I16" s="3"/>
      <c r="J16" s="3"/>
      <c r="K16" s="3"/>
    </row>
    <row r="17" spans="1:11" x14ac:dyDescent="0.25">
      <c r="A17" t="s">
        <v>26</v>
      </c>
      <c r="E17">
        <v>2052</v>
      </c>
      <c r="F17" s="4"/>
      <c r="G17" s="3"/>
      <c r="I17" s="3"/>
      <c r="J17" s="3"/>
      <c r="K17" s="3"/>
    </row>
    <row r="19" spans="1:11" x14ac:dyDescent="0.25">
      <c r="I19" t="s">
        <v>27</v>
      </c>
      <c r="J19" t="s">
        <v>28</v>
      </c>
      <c r="K19" t="s">
        <v>29</v>
      </c>
    </row>
    <row r="21" spans="1:11" ht="15" customHeight="1" x14ac:dyDescent="0.25">
      <c r="A21" s="2"/>
      <c r="B21" s="2"/>
      <c r="C21" s="2"/>
      <c r="D21" s="2"/>
      <c r="E21" s="2"/>
      <c r="F21" s="2"/>
      <c r="G21" s="2"/>
    </row>
    <row r="22" spans="1:11" x14ac:dyDescent="0.25">
      <c r="A22" s="2" t="s">
        <v>30</v>
      </c>
      <c r="B22" s="2">
        <f>SUM(B14/23)/1000</f>
        <v>0.23695913043478253</v>
      </c>
      <c r="C22" s="2"/>
      <c r="D22" s="2"/>
      <c r="E22" s="2"/>
      <c r="F22" s="2"/>
      <c r="G22" s="2"/>
      <c r="I22" s="3" t="s">
        <v>38</v>
      </c>
      <c r="J22" s="3" t="s">
        <v>39</v>
      </c>
    </row>
    <row r="23" spans="1:11" ht="30.75" customHeight="1" x14ac:dyDescent="0.25">
      <c r="A23" s="2" t="s">
        <v>31</v>
      </c>
      <c r="B23" s="2">
        <f>SUM(B22*6)</f>
        <v>1.4217547826086951</v>
      </c>
      <c r="C23" s="2"/>
      <c r="D23" s="2"/>
      <c r="E23" s="2"/>
      <c r="F23" s="2"/>
      <c r="G23" s="2"/>
      <c r="I23" s="12" t="s">
        <v>41</v>
      </c>
      <c r="J23" s="3" t="s">
        <v>43</v>
      </c>
    </row>
    <row r="24" spans="1:11" x14ac:dyDescent="0.25">
      <c r="A24" s="2"/>
      <c r="B24" s="2"/>
      <c r="C24" s="2"/>
      <c r="D24" s="2"/>
      <c r="E24" s="2"/>
      <c r="F24" s="2"/>
      <c r="G24" s="2"/>
      <c r="I24" s="3" t="s">
        <v>40</v>
      </c>
      <c r="J24" s="3" t="s">
        <v>42</v>
      </c>
    </row>
    <row r="25" spans="1:11" x14ac:dyDescent="0.25">
      <c r="A25" s="2"/>
      <c r="B25" s="2"/>
      <c r="C25" s="2"/>
      <c r="D25" s="2"/>
      <c r="E25" s="2"/>
      <c r="F25" s="2"/>
      <c r="G25" s="2"/>
    </row>
    <row r="26" spans="1:11" ht="45" x14ac:dyDescent="0.25">
      <c r="A26" s="2"/>
      <c r="B26" s="11" t="s">
        <v>37</v>
      </c>
      <c r="C26" s="2"/>
      <c r="D26" s="2"/>
      <c r="E26" s="2"/>
      <c r="F26" s="2"/>
      <c r="G26" s="2"/>
    </row>
    <row r="27" spans="1:11" x14ac:dyDescent="0.25">
      <c r="A27" s="2" t="s">
        <v>32</v>
      </c>
      <c r="B27" s="2">
        <f>SUM(E3:E13)</f>
        <v>20399</v>
      </c>
      <c r="C27" s="2"/>
      <c r="D27" s="2"/>
      <c r="E27" s="2"/>
      <c r="F27" s="2"/>
      <c r="G27" s="2"/>
    </row>
    <row r="28" spans="1:11" x14ac:dyDescent="0.25">
      <c r="A28" s="2" t="s">
        <v>33</v>
      </c>
      <c r="B28" s="13">
        <f>SUM($B$27*0.3)</f>
        <v>6119.7</v>
      </c>
    </row>
    <row r="29" spans="1:11" x14ac:dyDescent="0.25">
      <c r="A29" s="2" t="s">
        <v>34</v>
      </c>
      <c r="B29" s="13">
        <f>SUM($B$27*0.21)</f>
        <v>4283.79</v>
      </c>
    </row>
    <row r="30" spans="1:11" x14ac:dyDescent="0.25">
      <c r="A30" s="2" t="s">
        <v>35</v>
      </c>
      <c r="B30" s="13">
        <f>SUM($B$27*0.12)</f>
        <v>2447.88</v>
      </c>
    </row>
    <row r="31" spans="1:11" x14ac:dyDescent="0.25">
      <c r="A31" t="s">
        <v>36</v>
      </c>
      <c r="B31" s="13">
        <f>SUM($B$27*0.05)</f>
        <v>1019.95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E9F0-17FD-4359-838D-0D9893756D71}">
  <dimension ref="A1:O31"/>
  <sheetViews>
    <sheetView tabSelected="1" workbookViewId="0">
      <selection activeCell="C24" sqref="C24"/>
    </sheetView>
  </sheetViews>
  <sheetFormatPr defaultRowHeight="15" x14ac:dyDescent="0.25"/>
  <cols>
    <col min="1" max="1" width="27.7109375" bestFit="1" customWidth="1"/>
    <col min="2" max="2" width="14.140625" bestFit="1" customWidth="1"/>
    <col min="3" max="3" width="14.42578125" bestFit="1" customWidth="1"/>
    <col min="4" max="4" width="20" bestFit="1" customWidth="1"/>
    <col min="5" max="5" width="10.28515625" bestFit="1" customWidth="1"/>
    <col min="6" max="6" width="9" bestFit="1" customWidth="1"/>
    <col min="7" max="7" width="6.140625" bestFit="1" customWidth="1"/>
    <col min="8" max="8" width="5.7109375" bestFit="1" customWidth="1"/>
    <col min="9" max="9" width="25" bestFit="1" customWidth="1"/>
    <col min="10" max="10" width="11.5703125" bestFit="1" customWidth="1"/>
    <col min="11" max="11" width="10" bestFit="1" customWidth="1"/>
    <col min="12" max="13" width="3.28515625" bestFit="1" customWidth="1"/>
    <col min="14" max="14" width="9.5703125" bestFit="1" customWidth="1"/>
    <col min="15" max="15" width="9.5703125" customWidth="1"/>
  </cols>
  <sheetData>
    <row r="1" spans="1:15" x14ac:dyDescent="0.25">
      <c r="A1" t="s">
        <v>0</v>
      </c>
      <c r="B1">
        <v>40</v>
      </c>
    </row>
    <row r="2" spans="1:15" s="2" customFormat="1" ht="30" x14ac:dyDescent="0.25">
      <c r="A2" s="1" t="s">
        <v>1</v>
      </c>
      <c r="B2" s="1" t="s">
        <v>2</v>
      </c>
      <c r="C2" s="1" t="s">
        <v>3</v>
      </c>
      <c r="D2" s="1"/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N2" s="2" t="s">
        <v>12</v>
      </c>
      <c r="O2" s="2" t="s">
        <v>13</v>
      </c>
    </row>
    <row r="3" spans="1:15" x14ac:dyDescent="0.25">
      <c r="A3" t="s">
        <v>14</v>
      </c>
      <c r="B3">
        <v>308.11</v>
      </c>
      <c r="C3" s="3">
        <f>SUM($B$23/($B$14/1000))*B3</f>
        <v>80.376521739130425</v>
      </c>
      <c r="E3" s="4">
        <v>988</v>
      </c>
      <c r="F3" s="4">
        <f>SUM(E3*0.96)</f>
        <v>948.48</v>
      </c>
      <c r="G3" s="3">
        <f>SUM($B3/$F3)</f>
        <v>0.32484606950067479</v>
      </c>
      <c r="H3">
        <v>18</v>
      </c>
      <c r="I3" s="3">
        <f>((G3^(1/1.32))*50)+H3</f>
        <v>39.331863921558451</v>
      </c>
      <c r="J3" s="3">
        <f>SUM(I3+($L$3/2))</f>
        <v>41.831863921558451</v>
      </c>
      <c r="K3" s="3">
        <f>SUM($B$1-I3)*2</f>
        <v>1.3362721568830978</v>
      </c>
      <c r="L3">
        <v>5</v>
      </c>
      <c r="N3" s="3">
        <f>(((C3/E3)*(1/1.32))*50)+H3</f>
        <v>21.081543742298891</v>
      </c>
      <c r="O3" s="3">
        <f>SUM(N3+($L$3/2))</f>
        <v>23.581543742298891</v>
      </c>
    </row>
    <row r="4" spans="1:15" x14ac:dyDescent="0.25">
      <c r="A4" t="s">
        <v>15</v>
      </c>
      <c r="B4">
        <v>391.75</v>
      </c>
      <c r="C4" s="3">
        <f>SUM($B$23/($B$14/1000))*B4</f>
        <v>102.19565217391302</v>
      </c>
      <c r="E4">
        <v>1372</v>
      </c>
      <c r="F4" s="4">
        <f t="shared" ref="F4:F13" si="0">SUM(E4*0.96)</f>
        <v>1317.12</v>
      </c>
      <c r="G4" s="3">
        <f t="shared" ref="G4:G13" si="1">SUM($B4/$F4)</f>
        <v>0.29742923955296408</v>
      </c>
      <c r="H4">
        <v>18</v>
      </c>
      <c r="I4" s="3">
        <f>((G4^(1/1.32))*50)+H4</f>
        <v>37.953460800428701</v>
      </c>
      <c r="J4" s="3">
        <f t="shared" ref="J4:J13" si="2">SUM(I4+($L$3/2))</f>
        <v>40.453460800428701</v>
      </c>
      <c r="K4" s="3">
        <f t="shared" ref="K4" si="3">SUM($B$1-I4)*2</f>
        <v>4.0930783991425983</v>
      </c>
      <c r="N4" s="3">
        <f t="shared" ref="N4:N13" si="4">(((C4/E4)*(1/1.32))*50)+H4</f>
        <v>20.821463142004401</v>
      </c>
      <c r="O4" s="3">
        <f t="shared" ref="O4:O13" si="5">SUM(N4+($L$3/2))</f>
        <v>23.321463142004401</v>
      </c>
    </row>
    <row r="5" spans="1:15" x14ac:dyDescent="0.25">
      <c r="A5" t="s">
        <v>45</v>
      </c>
      <c r="B5">
        <v>489.21</v>
      </c>
      <c r="C5" s="3">
        <f>SUM($B$23/($B$14/1000))*B5</f>
        <v>127.61999999999996</v>
      </c>
      <c r="E5">
        <v>2078</v>
      </c>
      <c r="F5" s="4">
        <f t="shared" si="0"/>
        <v>1994.8799999999999</v>
      </c>
      <c r="G5" s="3">
        <f t="shared" si="1"/>
        <v>0.2452327959576516</v>
      </c>
      <c r="H5">
        <v>20</v>
      </c>
      <c r="I5" s="3">
        <f>((G5^(1/1.32))*50)+H5</f>
        <v>37.23969236090845</v>
      </c>
      <c r="J5" s="3">
        <f t="shared" si="2"/>
        <v>39.73969236090845</v>
      </c>
      <c r="K5" s="3">
        <f>SUM($B$1-I5)*2</f>
        <v>5.5206152781831008</v>
      </c>
      <c r="N5" s="3">
        <f t="shared" si="4"/>
        <v>22.326319013037011</v>
      </c>
      <c r="O5" s="3">
        <f t="shared" si="5"/>
        <v>24.826319013037011</v>
      </c>
    </row>
    <row r="6" spans="1:15" x14ac:dyDescent="0.25">
      <c r="A6" t="s">
        <v>16</v>
      </c>
      <c r="B6">
        <v>465.95</v>
      </c>
      <c r="C6" s="3">
        <f>SUM($B$23/($B$14/1000))*B6</f>
        <v>121.55217391304345</v>
      </c>
      <c r="E6">
        <v>2430</v>
      </c>
      <c r="F6" s="4">
        <f t="shared" si="0"/>
        <v>2332.7999999999997</v>
      </c>
      <c r="G6" s="3">
        <f t="shared" si="1"/>
        <v>0.19973851165980797</v>
      </c>
      <c r="H6">
        <v>20</v>
      </c>
      <c r="I6" s="3">
        <f>((G6^(1/1.32))*50)+H6</f>
        <v>34.757637205668956</v>
      </c>
      <c r="J6" s="3">
        <f t="shared" si="2"/>
        <v>37.257637205668956</v>
      </c>
      <c r="K6" s="3">
        <f t="shared" ref="K6:K13" si="6">SUM($B$1-I6)*2</f>
        <v>10.484725588662087</v>
      </c>
      <c r="N6" s="3">
        <f t="shared" si="4"/>
        <v>21.894752679776833</v>
      </c>
      <c r="O6" s="3">
        <f t="shared" si="5"/>
        <v>24.394752679776833</v>
      </c>
    </row>
    <row r="7" spans="1:15" x14ac:dyDescent="0.25">
      <c r="A7" t="s">
        <v>17</v>
      </c>
      <c r="B7">
        <v>359.39</v>
      </c>
      <c r="C7" s="3">
        <f>SUM($B$23/($B$14/1000))*B7</f>
        <v>93.753913043478235</v>
      </c>
      <c r="E7">
        <v>1372</v>
      </c>
      <c r="F7" s="4">
        <f t="shared" si="0"/>
        <v>1317.12</v>
      </c>
      <c r="G7" s="3">
        <f t="shared" si="1"/>
        <v>0.27286048347910596</v>
      </c>
      <c r="H7">
        <v>18</v>
      </c>
      <c r="I7" s="3">
        <f t="shared" ref="I7:I12" si="7">((G7^(1/1.32))*50)+H7</f>
        <v>36.691851008703424</v>
      </c>
      <c r="J7" s="3">
        <f t="shared" si="2"/>
        <v>39.191851008703424</v>
      </c>
      <c r="K7" s="3">
        <f t="shared" si="6"/>
        <v>6.6162979825931529</v>
      </c>
      <c r="N7" s="3">
        <f t="shared" si="4"/>
        <v>20.588399843280055</v>
      </c>
      <c r="O7" s="3">
        <f t="shared" si="5"/>
        <v>23.088399843280055</v>
      </c>
    </row>
    <row r="8" spans="1:15" x14ac:dyDescent="0.25">
      <c r="A8" t="s">
        <v>18</v>
      </c>
      <c r="B8">
        <v>708.68</v>
      </c>
      <c r="C8" s="3">
        <f>SUM($B$23/($B$14/1000))*B8</f>
        <v>184.87304347826083</v>
      </c>
      <c r="E8">
        <v>3117</v>
      </c>
      <c r="F8" s="4">
        <f t="shared" si="0"/>
        <v>2992.3199999999997</v>
      </c>
      <c r="G8" s="3">
        <f t="shared" si="1"/>
        <v>0.23683295904181373</v>
      </c>
      <c r="H8">
        <v>21</v>
      </c>
      <c r="I8" s="3">
        <f t="shared" si="7"/>
        <v>37.790457722146137</v>
      </c>
      <c r="J8" s="3">
        <f t="shared" si="2"/>
        <v>40.290457722146137</v>
      </c>
      <c r="K8" s="3">
        <f t="shared" si="6"/>
        <v>4.4190845557077267</v>
      </c>
      <c r="N8" s="3">
        <f t="shared" si="4"/>
        <v>23.246636765614042</v>
      </c>
      <c r="O8" s="3">
        <f t="shared" si="5"/>
        <v>25.746636765614042</v>
      </c>
    </row>
    <row r="9" spans="1:15" x14ac:dyDescent="0.25">
      <c r="A9" t="s">
        <v>19</v>
      </c>
      <c r="B9">
        <v>316.22000000000003</v>
      </c>
      <c r="C9" s="3">
        <f>SUM($B$23/($B$14/1000))*B9</f>
        <v>82.492173913043459</v>
      </c>
      <c r="E9">
        <v>1224</v>
      </c>
      <c r="F9">
        <f t="shared" ref="F9" si="8">SUM(E9*0.96)</f>
        <v>1175.04</v>
      </c>
      <c r="G9" s="3">
        <f>SUM(B9/F9)</f>
        <v>0.26911424291939001</v>
      </c>
      <c r="H9">
        <v>18</v>
      </c>
      <c r="I9" s="3">
        <f t="shared" si="7"/>
        <v>36.497108986264294</v>
      </c>
      <c r="J9" s="3">
        <f t="shared" si="2"/>
        <v>38.997108986264294</v>
      </c>
      <c r="K9" s="3">
        <f>SUM($B$1-I9)*2</f>
        <v>7.0057820274714118</v>
      </c>
      <c r="N9" s="3">
        <f t="shared" si="4"/>
        <v>20.552862383425044</v>
      </c>
      <c r="O9" s="3">
        <f t="shared" si="5"/>
        <v>23.052862383425044</v>
      </c>
    </row>
    <row r="10" spans="1:15" x14ac:dyDescent="0.25">
      <c r="A10" s="5" t="s">
        <v>46</v>
      </c>
      <c r="B10" s="5">
        <v>296.02999999999997</v>
      </c>
      <c r="C10" s="6">
        <f>SUM($B$23/($B$14/1000))*B10</f>
        <v>77.225217391304326</v>
      </c>
      <c r="D10" s="7" t="s">
        <v>20</v>
      </c>
      <c r="N10" s="3"/>
      <c r="O10" s="3"/>
    </row>
    <row r="11" spans="1:15" x14ac:dyDescent="0.25">
      <c r="A11" s="8" t="s">
        <v>21</v>
      </c>
      <c r="B11" s="8">
        <v>549.69000000000005</v>
      </c>
      <c r="C11" s="6">
        <f>SUM($B$23/($B$14/1000))*B11</f>
        <v>143.39739130434779</v>
      </c>
      <c r="D11" s="8" t="s">
        <v>20</v>
      </c>
      <c r="G11" s="3"/>
      <c r="I11" s="3"/>
      <c r="J11" s="3"/>
      <c r="K11" s="3"/>
      <c r="N11" s="3"/>
      <c r="O11" s="3"/>
    </row>
    <row r="12" spans="1:15" x14ac:dyDescent="0.25">
      <c r="A12" t="s">
        <v>22</v>
      </c>
      <c r="B12">
        <v>1468.67</v>
      </c>
      <c r="C12" s="3">
        <f>SUM($B$23/($B$14/1000))*B12</f>
        <v>383.13130434782602</v>
      </c>
      <c r="D12" t="s">
        <v>23</v>
      </c>
      <c r="E12">
        <f>SUM(E16+E17)</f>
        <v>6986</v>
      </c>
      <c r="F12" s="4">
        <f t="shared" si="0"/>
        <v>6706.5599999999995</v>
      </c>
      <c r="G12" s="3">
        <f t="shared" si="1"/>
        <v>0.21899006346025388</v>
      </c>
      <c r="H12">
        <v>21</v>
      </c>
      <c r="I12" s="3">
        <f t="shared" si="7"/>
        <v>36.823098319032255</v>
      </c>
      <c r="J12" s="3">
        <f t="shared" si="2"/>
        <v>39.323098319032255</v>
      </c>
      <c r="K12" s="3">
        <f t="shared" si="6"/>
        <v>6.3538033619354906</v>
      </c>
      <c r="N12" s="3">
        <f t="shared" si="4"/>
        <v>23.077376096065649</v>
      </c>
      <c r="O12" s="3">
        <f t="shared" si="5"/>
        <v>25.577376096065649</v>
      </c>
    </row>
    <row r="13" spans="1:15" x14ac:dyDescent="0.25">
      <c r="A13" t="s">
        <v>24</v>
      </c>
      <c r="B13">
        <v>96.36</v>
      </c>
      <c r="C13" s="3">
        <f>SUM($B$23/($B$14/1000))*B13</f>
        <v>25.137391304347819</v>
      </c>
      <c r="E13">
        <v>559</v>
      </c>
      <c r="F13" s="4">
        <f t="shared" si="0"/>
        <v>536.64</v>
      </c>
      <c r="G13" s="3">
        <f t="shared" si="1"/>
        <v>0.17956171735241502</v>
      </c>
      <c r="H13">
        <v>20</v>
      </c>
      <c r="I13" s="3">
        <f>((G13^(1/1.32))*50)+H13</f>
        <v>33.613833077324763</v>
      </c>
      <c r="J13" s="3">
        <f t="shared" si="2"/>
        <v>36.113833077324763</v>
      </c>
      <c r="K13" s="3">
        <f t="shared" si="6"/>
        <v>12.772333845350474</v>
      </c>
      <c r="N13" s="3">
        <f t="shared" si="4"/>
        <v>21.70335225946955</v>
      </c>
      <c r="O13" s="3">
        <f t="shared" si="5"/>
        <v>24.20335225946955</v>
      </c>
    </row>
    <row r="14" spans="1:15" x14ac:dyDescent="0.25">
      <c r="A14" s="9" t="s">
        <v>47</v>
      </c>
      <c r="B14" s="9">
        <f>SUM(B3:B13)</f>
        <v>5450.0599999999986</v>
      </c>
      <c r="C14" s="9"/>
      <c r="D14" s="9"/>
      <c r="E14" s="9"/>
      <c r="F14" s="9"/>
      <c r="G14" s="10"/>
      <c r="H14" s="9"/>
      <c r="I14" s="3"/>
      <c r="J14" s="3"/>
      <c r="K14" s="3"/>
    </row>
    <row r="15" spans="1:15" x14ac:dyDescent="0.25">
      <c r="F15" s="4"/>
      <c r="G15" s="3"/>
      <c r="I15" s="3"/>
      <c r="J15" s="3"/>
      <c r="K15" s="3"/>
    </row>
    <row r="16" spans="1:15" x14ac:dyDescent="0.25">
      <c r="A16" t="s">
        <v>25</v>
      </c>
      <c r="E16">
        <v>4934</v>
      </c>
      <c r="F16" s="4"/>
      <c r="G16" s="3"/>
      <c r="I16" s="3"/>
      <c r="J16" s="3"/>
      <c r="K16" s="3"/>
    </row>
    <row r="17" spans="1:11" x14ac:dyDescent="0.25">
      <c r="A17" t="s">
        <v>26</v>
      </c>
      <c r="E17">
        <v>2052</v>
      </c>
      <c r="F17" s="4"/>
      <c r="G17" s="3"/>
      <c r="I17" s="3"/>
      <c r="J17" s="3"/>
      <c r="K17" s="3"/>
    </row>
    <row r="19" spans="1:11" x14ac:dyDescent="0.25">
      <c r="I19" t="s">
        <v>27</v>
      </c>
      <c r="J19" t="s">
        <v>28</v>
      </c>
      <c r="K19" t="s">
        <v>29</v>
      </c>
    </row>
    <row r="21" spans="1:11" ht="15" customHeight="1" x14ac:dyDescent="0.25">
      <c r="A21" s="2"/>
      <c r="B21" s="2"/>
      <c r="C21" s="2"/>
      <c r="D21" s="2"/>
      <c r="E21" s="2"/>
      <c r="F21" s="2"/>
      <c r="G21" s="2"/>
    </row>
    <row r="22" spans="1:11" x14ac:dyDescent="0.25">
      <c r="A22" s="2" t="s">
        <v>30</v>
      </c>
      <c r="B22" s="2">
        <f>SUM(B14/23)/1000</f>
        <v>0.23695913043478253</v>
      </c>
      <c r="C22" s="2"/>
      <c r="D22" s="2"/>
      <c r="E22" s="2"/>
      <c r="F22" s="2"/>
      <c r="G22" s="2"/>
      <c r="I22" s="3" t="s">
        <v>38</v>
      </c>
      <c r="J22" s="3" t="s">
        <v>39</v>
      </c>
    </row>
    <row r="23" spans="1:11" ht="30.75" customHeight="1" x14ac:dyDescent="0.25">
      <c r="A23" s="2" t="s">
        <v>31</v>
      </c>
      <c r="B23" s="2">
        <f>SUM(B22*6)</f>
        <v>1.4217547826086951</v>
      </c>
      <c r="C23" s="2"/>
      <c r="D23" s="2"/>
      <c r="E23" s="2"/>
      <c r="F23" s="2"/>
      <c r="G23" s="2"/>
      <c r="I23" s="12" t="s">
        <v>41</v>
      </c>
      <c r="J23" s="3" t="s">
        <v>43</v>
      </c>
    </row>
    <row r="24" spans="1:11" x14ac:dyDescent="0.25">
      <c r="A24" s="2"/>
      <c r="B24" s="2"/>
      <c r="C24" s="2"/>
      <c r="D24" s="2"/>
      <c r="E24" s="2"/>
      <c r="F24" s="2"/>
      <c r="G24" s="2"/>
      <c r="I24" s="3" t="s">
        <v>40</v>
      </c>
      <c r="J24" s="3" t="s">
        <v>44</v>
      </c>
    </row>
    <row r="25" spans="1:11" x14ac:dyDescent="0.25">
      <c r="A25" s="2"/>
      <c r="B25" s="2"/>
      <c r="C25" s="2"/>
      <c r="D25" s="2"/>
      <c r="E25" s="2"/>
      <c r="F25" s="2"/>
      <c r="G25" s="2"/>
    </row>
    <row r="26" spans="1:11" ht="45" x14ac:dyDescent="0.25">
      <c r="A26" s="2"/>
      <c r="B26" s="11" t="s">
        <v>37</v>
      </c>
      <c r="C26" s="2"/>
      <c r="D26" s="2"/>
      <c r="E26" s="2"/>
      <c r="F26" s="2"/>
      <c r="G26" s="2"/>
    </row>
    <row r="27" spans="1:11" x14ac:dyDescent="0.25">
      <c r="A27" s="2" t="s">
        <v>32</v>
      </c>
      <c r="B27" s="2">
        <f>SUM(E3:E13)</f>
        <v>20126</v>
      </c>
      <c r="C27" s="2"/>
      <c r="D27" s="2"/>
      <c r="E27" s="2"/>
      <c r="F27" s="2"/>
      <c r="G27" s="2"/>
    </row>
    <row r="28" spans="1:11" x14ac:dyDescent="0.25">
      <c r="A28" s="2" t="s">
        <v>33</v>
      </c>
      <c r="B28" s="13">
        <f>SUM($B$27*0.3)</f>
        <v>6037.8</v>
      </c>
    </row>
    <row r="29" spans="1:11" x14ac:dyDescent="0.25">
      <c r="A29" s="2" t="s">
        <v>34</v>
      </c>
      <c r="B29" s="13">
        <f>SUM($B$27*0.21)</f>
        <v>4226.46</v>
      </c>
    </row>
    <row r="30" spans="1:11" x14ac:dyDescent="0.25">
      <c r="A30" s="2" t="s">
        <v>35</v>
      </c>
      <c r="B30" s="13">
        <f>SUM($B$27*0.12)</f>
        <v>2415.12</v>
      </c>
    </row>
    <row r="31" spans="1:11" x14ac:dyDescent="0.25">
      <c r="A31" t="s">
        <v>36</v>
      </c>
      <c r="B31" s="13">
        <f>SUM($B$27*0.05)</f>
        <v>1006.3000000000001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New Rads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 Wilcoxen</dc:creator>
  <cp:lastModifiedBy>Zak Wilcoxen</cp:lastModifiedBy>
  <dcterms:created xsi:type="dcterms:W3CDTF">2024-01-25T11:07:45Z</dcterms:created>
  <dcterms:modified xsi:type="dcterms:W3CDTF">2024-01-25T17:11:41Z</dcterms:modified>
</cp:coreProperties>
</file>