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0" windowWidth="18500" windowHeight="6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7" i="1"/>
  <c r="I18" s="1"/>
  <c r="H17"/>
  <c r="H18" s="1"/>
  <c r="G17"/>
  <c r="G18" s="1"/>
  <c r="F17"/>
  <c r="F18" s="1"/>
  <c r="E17"/>
  <c r="E18" s="1"/>
  <c r="D17"/>
  <c r="D18" s="1"/>
  <c r="C17"/>
  <c r="C18" s="1"/>
  <c r="I13"/>
  <c r="E12"/>
  <c r="E20" s="1"/>
  <c r="I11"/>
  <c r="I12" s="1"/>
  <c r="I20" s="1"/>
  <c r="H11"/>
  <c r="H13" s="1"/>
  <c r="G11"/>
  <c r="G13" s="1"/>
  <c r="F11"/>
  <c r="F12" s="1"/>
  <c r="E11"/>
  <c r="E13" s="1"/>
  <c r="D11"/>
  <c r="D13" s="1"/>
  <c r="C11"/>
  <c r="C13" s="1"/>
  <c r="I9"/>
  <c r="I21" s="1"/>
  <c r="I22" s="1"/>
  <c r="I23" s="1"/>
  <c r="H9"/>
  <c r="H21" s="1"/>
  <c r="H22" s="1"/>
  <c r="H23" s="1"/>
  <c r="G9"/>
  <c r="G21" s="1"/>
  <c r="G22" s="1"/>
  <c r="G23" s="1"/>
  <c r="F9"/>
  <c r="F21" s="1"/>
  <c r="F22" s="1"/>
  <c r="F23" s="1"/>
  <c r="E9"/>
  <c r="E21" s="1"/>
  <c r="E22" s="1"/>
  <c r="E23" s="1"/>
  <c r="D9"/>
  <c r="D21" s="1"/>
  <c r="D22" s="1"/>
  <c r="D23" s="1"/>
  <c r="C9"/>
  <c r="C21" s="1"/>
  <c r="C22" s="1"/>
  <c r="C23" s="1"/>
  <c r="I24" l="1"/>
  <c r="E25" s="1"/>
  <c r="F13"/>
  <c r="F20"/>
  <c r="F24" s="1"/>
  <c r="F19"/>
  <c r="F14"/>
  <c r="F15" s="1"/>
  <c r="E24"/>
  <c r="I25"/>
  <c r="D12"/>
  <c r="H12"/>
  <c r="C12"/>
  <c r="G12"/>
  <c r="E14"/>
  <c r="E15" s="1"/>
  <c r="I14"/>
  <c r="I15" s="1"/>
  <c r="E19"/>
  <c r="I19"/>
  <c r="F25" l="1"/>
  <c r="H19"/>
  <c r="H14"/>
  <c r="H15" s="1"/>
  <c r="H20"/>
  <c r="H24" s="1"/>
  <c r="H25" s="1"/>
  <c r="C20"/>
  <c r="C24" s="1"/>
  <c r="C25" s="1"/>
  <c r="C19"/>
  <c r="C14"/>
  <c r="C15" s="1"/>
  <c r="G20"/>
  <c r="G24" s="1"/>
  <c r="G25" s="1"/>
  <c r="G19"/>
  <c r="G14"/>
  <c r="G15" s="1"/>
  <c r="D19"/>
  <c r="D14"/>
  <c r="D15" s="1"/>
  <c r="D20"/>
  <c r="D24" s="1"/>
  <c r="D25" s="1"/>
</calcChain>
</file>

<file path=xl/sharedStrings.xml><?xml version="1.0" encoding="utf-8"?>
<sst xmlns="http://schemas.openxmlformats.org/spreadsheetml/2006/main" count="62" uniqueCount="59">
  <si>
    <t>T2</t>
  </si>
  <si>
    <t>t2</t>
  </si>
  <si>
    <t>Water temp ex ASHP (degC)</t>
  </si>
  <si>
    <t>T1, t1</t>
  </si>
  <si>
    <t>Assumes radiator in temp = ASHP exit temp, measured</t>
  </si>
  <si>
    <t>Water flow ex ASHP (kg/s)</t>
  </si>
  <si>
    <t>M</t>
  </si>
  <si>
    <t>Measured</t>
  </si>
  <si>
    <t>Radiator OHTC (W/m2/degC)</t>
  </si>
  <si>
    <t>U</t>
  </si>
  <si>
    <t>Previous tests</t>
  </si>
  <si>
    <t>Radiator area (m2)</t>
  </si>
  <si>
    <t>A</t>
  </si>
  <si>
    <t>Room temperature (degC)</t>
  </si>
  <si>
    <t>Tr</t>
  </si>
  <si>
    <t>Target (assumed fixed)</t>
  </si>
  <si>
    <t>Radiator flow (kg/s)</t>
  </si>
  <si>
    <t>m</t>
  </si>
  <si>
    <t>Different scenarios between 40 and 100% of primary circuit flow</t>
  </si>
  <si>
    <t>Radiator flow (litre/min)</t>
  </si>
  <si>
    <t>v</t>
  </si>
  <si>
    <t>Glycol density = 1020kg/m3</t>
  </si>
  <si>
    <t>Trial radiator exit temp (degC)</t>
  </si>
  <si>
    <t>Average radiator temp (degC)</t>
  </si>
  <si>
    <t>tave</t>
  </si>
  <si>
    <t>Calc radiator duty (W)</t>
  </si>
  <si>
    <t>Q</t>
  </si>
  <si>
    <t xml:space="preserve">From Q = U * A * (Tave - Tr) </t>
  </si>
  <si>
    <t>Glycol Sp Ht (kJ/kg/degC)</t>
  </si>
  <si>
    <t>Cp</t>
  </si>
  <si>
    <t>20% glycol solution at Tave</t>
  </si>
  <si>
    <t>Calc radiator temp drop (degC)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</si>
  <si>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</si>
  <si>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Error</t>
  </si>
  <si>
    <t>Calc ASHP inlet temp (degC)</t>
  </si>
  <si>
    <t>Blend radiator outlet flow and temp with buffer tank bypass flow (= M - m) and inlet temp t1</t>
  </si>
  <si>
    <t>Radiator duty imbalance</t>
  </si>
  <si>
    <t>Reduction in radiator duty compared with m = M case (0.5kg/s)</t>
  </si>
  <si>
    <t>ASHP electrical power reqt</t>
  </si>
  <si>
    <t>Php</t>
  </si>
  <si>
    <t>Est'd pump head (kPa)</t>
  </si>
  <si>
    <t>H</t>
  </si>
  <si>
    <t>Curve fit of estimated system curve (H = 0.0796v^2 + 0.4718v -0.86)</t>
  </si>
  <si>
    <t>CH pump hydraulic power (W)</t>
  </si>
  <si>
    <t>Phyd</t>
  </si>
  <si>
    <t>From P = H * v / 60 (s/min)</t>
  </si>
  <si>
    <t>Pump shaft power (W)</t>
  </si>
  <si>
    <t>Pch</t>
  </si>
  <si>
    <r>
      <t xml:space="preserve">Assuming </t>
    </r>
    <r>
      <rPr>
        <sz val="11"/>
        <color theme="1"/>
        <rFont val="Symbol"/>
        <family val="1"/>
        <charset val="2"/>
      </rPr>
      <t>h</t>
    </r>
    <r>
      <rPr>
        <sz val="11"/>
        <color theme="1"/>
        <rFont val="Calibri"/>
        <family val="2"/>
        <scheme val="minor"/>
      </rPr>
      <t xml:space="preserve"> = 0.6</t>
    </r>
  </si>
  <si>
    <t>Total power (W)</t>
  </si>
  <si>
    <t>Poa</t>
  </si>
  <si>
    <t>Php + Pch</t>
  </si>
  <si>
    <t>Net power saving</t>
  </si>
  <si>
    <t>Reduction in overall power compared with m = M case (0.5kg/s)</t>
  </si>
  <si>
    <t>(t1 + t2) / 2</t>
  </si>
  <si>
    <r>
      <t xml:space="preserve">From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 = Q / m / Cp</t>
    </r>
  </si>
  <si>
    <r>
      <t xml:space="preserve">Use Excel Goal Seek to reset trial t2 so U * A * (Tr -Tave) = m * Cp *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</si>
  <si>
    <t>20% glycol solution at average of T1 and T2</t>
  </si>
  <si>
    <t>From Q / CoP where CoP = 3.90 (Samsung data for 45degC exit temp, 7degC ambient)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</si>
</sst>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%"/>
  </numFmts>
  <fonts count="5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0" fillId="0" borderId="0" xfId="0" quotePrefix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93" zoomScaleNormal="93" workbookViewId="0"/>
  </sheetViews>
  <sheetFormatPr defaultRowHeight="14.5"/>
  <cols>
    <col min="1" max="1" width="29.54296875" customWidth="1"/>
    <col min="2" max="2" width="5.453125" style="1" customWidth="1"/>
    <col min="3" max="9" width="8.6328125" customWidth="1"/>
    <col min="10" max="10" width="4" customWidth="1"/>
    <col min="11" max="11" width="81" customWidth="1"/>
  </cols>
  <sheetData>
    <row r="1" spans="1:12">
      <c r="J1" s="2"/>
      <c r="K1" s="2"/>
      <c r="L1" s="2"/>
    </row>
    <row r="2" spans="1:12">
      <c r="A2" t="s">
        <v>2</v>
      </c>
      <c r="B2" s="1" t="s">
        <v>3</v>
      </c>
      <c r="C2" s="3">
        <v>45</v>
      </c>
      <c r="D2" s="4" t="s">
        <v>4</v>
      </c>
    </row>
    <row r="3" spans="1:12">
      <c r="A3" t="s">
        <v>5</v>
      </c>
      <c r="B3" s="1" t="s">
        <v>6</v>
      </c>
      <c r="C3" s="5">
        <v>0.5</v>
      </c>
      <c r="D3" t="s">
        <v>7</v>
      </c>
    </row>
    <row r="4" spans="1:12">
      <c r="A4" t="s">
        <v>8</v>
      </c>
      <c r="B4" s="1" t="s">
        <v>9</v>
      </c>
      <c r="C4" s="3">
        <v>50</v>
      </c>
      <c r="D4" t="s">
        <v>10</v>
      </c>
    </row>
    <row r="5" spans="1:12">
      <c r="A5" t="s">
        <v>11</v>
      </c>
      <c r="B5" s="1" t="s">
        <v>12</v>
      </c>
      <c r="C5" s="5">
        <v>1.84</v>
      </c>
      <c r="D5" t="s">
        <v>7</v>
      </c>
    </row>
    <row r="6" spans="1:12">
      <c r="A6" t="s">
        <v>13</v>
      </c>
      <c r="B6" s="1" t="s">
        <v>14</v>
      </c>
      <c r="C6" s="3">
        <v>21</v>
      </c>
      <c r="D6" t="s">
        <v>15</v>
      </c>
    </row>
    <row r="7" spans="1:12">
      <c r="C7" s="6"/>
    </row>
    <row r="8" spans="1:12">
      <c r="A8" t="s">
        <v>16</v>
      </c>
      <c r="B8" s="1" t="s">
        <v>17</v>
      </c>
      <c r="C8" s="5">
        <v>0.2</v>
      </c>
      <c r="D8" s="5">
        <v>0.25</v>
      </c>
      <c r="E8" s="5">
        <v>0.3</v>
      </c>
      <c r="F8" s="5">
        <v>0.35</v>
      </c>
      <c r="G8" s="5">
        <v>0.4</v>
      </c>
      <c r="H8" s="5">
        <v>0.45</v>
      </c>
      <c r="I8" s="5">
        <v>0.5</v>
      </c>
      <c r="K8" t="s">
        <v>18</v>
      </c>
    </row>
    <row r="9" spans="1:12">
      <c r="A9" t="s">
        <v>19</v>
      </c>
      <c r="B9" s="1" t="s">
        <v>20</v>
      </c>
      <c r="C9" s="7">
        <f>C8/1.02*60</f>
        <v>11.76470588235294</v>
      </c>
      <c r="D9" s="7">
        <f t="shared" ref="D9:I9" si="0">D8/1.02*60</f>
        <v>14.705882352941176</v>
      </c>
      <c r="E9" s="7">
        <f t="shared" si="0"/>
        <v>17.647058823529413</v>
      </c>
      <c r="F9" s="7">
        <f t="shared" si="0"/>
        <v>20.588235294117645</v>
      </c>
      <c r="G9" s="7">
        <f t="shared" si="0"/>
        <v>23.52941176470588</v>
      </c>
      <c r="H9" s="7">
        <f t="shared" si="0"/>
        <v>26.470588235294116</v>
      </c>
      <c r="I9" s="7">
        <f t="shared" si="0"/>
        <v>29.411764705882351</v>
      </c>
      <c r="K9" t="s">
        <v>21</v>
      </c>
    </row>
    <row r="10" spans="1:12">
      <c r="A10" t="s">
        <v>22</v>
      </c>
      <c r="B10" s="1" t="s">
        <v>1</v>
      </c>
      <c r="C10" s="8">
        <v>42.384627843420589</v>
      </c>
      <c r="D10" s="8">
        <v>42.884881782711901</v>
      </c>
      <c r="E10" s="8">
        <v>43.224491752347852</v>
      </c>
      <c r="F10" s="8">
        <v>43.470132311995926</v>
      </c>
      <c r="G10" s="8">
        <v>43.656065063558579</v>
      </c>
      <c r="H10" s="8">
        <v>43.801700656218863</v>
      </c>
      <c r="I10" s="8">
        <v>43.918858641255362</v>
      </c>
    </row>
    <row r="11" spans="1:12">
      <c r="A11" t="s">
        <v>23</v>
      </c>
      <c r="B11" s="1" t="s">
        <v>24</v>
      </c>
      <c r="C11" s="8">
        <f>($C$2+C10)/2</f>
        <v>43.692313921710294</v>
      </c>
      <c r="D11" s="8">
        <f>($C$2+D10)/2</f>
        <v>43.94244089135595</v>
      </c>
      <c r="E11" s="8">
        <f t="shared" ref="E11:F11" si="1">($C$2+E10)/2</f>
        <v>44.11224587617393</v>
      </c>
      <c r="F11" s="8">
        <f t="shared" si="1"/>
        <v>44.235066155997963</v>
      </c>
      <c r="G11" s="8">
        <f>($C$2+G10)/2</f>
        <v>44.328032531779286</v>
      </c>
      <c r="H11" s="8">
        <f>($C$2+H10)/2</f>
        <v>44.400850328109428</v>
      </c>
      <c r="I11" s="8">
        <f>($C$2+I10)/2</f>
        <v>44.459429320627677</v>
      </c>
      <c r="K11" t="s">
        <v>54</v>
      </c>
    </row>
    <row r="12" spans="1:12">
      <c r="A12" t="s">
        <v>25</v>
      </c>
      <c r="B12" s="1" t="s">
        <v>26</v>
      </c>
      <c r="C12" s="9">
        <f>$C$4*$C$5*(C11-$C$6)</f>
        <v>2087.6928807973472</v>
      </c>
      <c r="D12" s="9">
        <f t="shared" ref="D12:I12" si="2">$C$4*$C$5*(D11-$C$6)</f>
        <v>2110.7045620047475</v>
      </c>
      <c r="E12" s="9">
        <f t="shared" si="2"/>
        <v>2126.3266206080016</v>
      </c>
      <c r="F12" s="9">
        <f t="shared" si="2"/>
        <v>2137.6260863518128</v>
      </c>
      <c r="G12" s="9">
        <f t="shared" si="2"/>
        <v>2146.1789929236943</v>
      </c>
      <c r="H12" s="9">
        <f t="shared" si="2"/>
        <v>2152.8782301860674</v>
      </c>
      <c r="I12" s="9">
        <f t="shared" si="2"/>
        <v>2158.2674974977463</v>
      </c>
      <c r="K12" t="s">
        <v>27</v>
      </c>
    </row>
    <row r="13" spans="1:12">
      <c r="A13" t="s">
        <v>28</v>
      </c>
      <c r="B13" s="1" t="s">
        <v>29</v>
      </c>
      <c r="C13" s="10">
        <f>0.0017*C11+3.917</f>
        <v>3.9912769336669074</v>
      </c>
      <c r="D13" s="10">
        <f>0.0017*D11+3.917</f>
        <v>3.9917021495153051</v>
      </c>
      <c r="E13" s="10">
        <f t="shared" ref="E13:F13" si="3">0.0017*E11+3.917</f>
        <v>3.9919908179894956</v>
      </c>
      <c r="F13" s="10">
        <f t="shared" si="3"/>
        <v>3.9921996124651962</v>
      </c>
      <c r="G13" s="10">
        <f>0.0017*G11+3.917</f>
        <v>3.9923576553040245</v>
      </c>
      <c r="H13" s="10">
        <f>0.0017*H11+3.917</f>
        <v>3.9924814455577859</v>
      </c>
      <c r="I13" s="10">
        <f>0.0017*I11+3.917</f>
        <v>3.9925810298450668</v>
      </c>
      <c r="K13" t="s">
        <v>30</v>
      </c>
    </row>
    <row r="14" spans="1:12">
      <c r="A14" t="s">
        <v>31</v>
      </c>
      <c r="B14" s="1" t="s">
        <v>32</v>
      </c>
      <c r="C14" s="10">
        <f>C12/C8/C13/1000</f>
        <v>2.6153195023720395</v>
      </c>
      <c r="D14" s="10">
        <f>D12/D8/D13/1000</f>
        <v>2.1150922418006974</v>
      </c>
      <c r="E14" s="10">
        <f t="shared" ref="E14:F14" si="4">E12/E8/E13/1000</f>
        <v>1.7754939139855814</v>
      </c>
      <c r="F14" s="10">
        <f t="shared" si="4"/>
        <v>1.5298591495255718</v>
      </c>
      <c r="G14" s="10">
        <f>G12/G8/G13/1000</f>
        <v>1.3439295638207664</v>
      </c>
      <c r="H14" s="10">
        <f>H12/H8/H13/1000</f>
        <v>1.1982958243127251</v>
      </c>
      <c r="I14" s="10">
        <f>I12/I8/I13/1000</f>
        <v>1.0811389832113181</v>
      </c>
      <c r="K14" t="s">
        <v>55</v>
      </c>
    </row>
    <row r="15" spans="1:12">
      <c r="A15" t="s">
        <v>33</v>
      </c>
      <c r="C15" s="10">
        <f>$C$2-C10-C14</f>
        <v>5.2654207371993778E-5</v>
      </c>
      <c r="D15" s="10">
        <f>$C$2-D10-D14</f>
        <v>2.5975487401908026E-5</v>
      </c>
      <c r="E15" s="10">
        <f t="shared" ref="E15:F15" si="5">$C$2-E10-E14</f>
        <v>1.4333666566557213E-5</v>
      </c>
      <c r="F15" s="10">
        <f t="shared" si="5"/>
        <v>8.5384785026842991E-6</v>
      </c>
      <c r="G15" s="10">
        <f>$C$2-G10-G14</f>
        <v>5.3726206548088129E-6</v>
      </c>
      <c r="H15" s="10">
        <f>$C$2-H10-H14</f>
        <v>3.5194684122608066E-6</v>
      </c>
      <c r="I15" s="10">
        <f>$C$2-I10-I14</f>
        <v>2.375533320053691E-6</v>
      </c>
      <c r="K15" t="s">
        <v>56</v>
      </c>
    </row>
    <row r="17" spans="1:11">
      <c r="A17" t="s">
        <v>34</v>
      </c>
      <c r="B17" s="1" t="s">
        <v>0</v>
      </c>
      <c r="C17" s="8">
        <f>(C8*C10+($C$3-C8)*$C$2)/$C$3</f>
        <v>43.953851137368233</v>
      </c>
      <c r="D17" s="8">
        <f>(D8*D10+($C$3-D8)*$C$2)/$C$3</f>
        <v>43.94244089135595</v>
      </c>
      <c r="E17" s="8">
        <f t="shared" ref="E17:F17" si="6">(E8*E10+($C$3-E8)*$C$2)/$C$3</f>
        <v>43.93469505140871</v>
      </c>
      <c r="F17" s="8">
        <f t="shared" si="6"/>
        <v>43.929092618397149</v>
      </c>
      <c r="G17" s="8">
        <f>(G8*G10+($C$3-G8)*$C$2)/$C$3</f>
        <v>43.924852050846866</v>
      </c>
      <c r="H17" s="8">
        <f>(H8*H10+($C$3-H8)*$C$2)/$C$3</f>
        <v>43.92153059059698</v>
      </c>
      <c r="I17" s="8">
        <f>(I8*I10+($C$3-I8)*$C$2)/$C$3</f>
        <v>43.918858641255362</v>
      </c>
      <c r="K17" t="s">
        <v>35</v>
      </c>
    </row>
    <row r="18" spans="1:11">
      <c r="A18" t="s">
        <v>28</v>
      </c>
      <c r="B18" s="1" t="s">
        <v>29</v>
      </c>
      <c r="C18" s="10">
        <f>0.0017*(C17+$C$2)/2+3.917</f>
        <v>3.9926107734667626</v>
      </c>
      <c r="D18" s="10">
        <f>0.0017*(D17+$C$2)/2+3.917</f>
        <v>3.9926010747576521</v>
      </c>
      <c r="E18" s="10">
        <f t="shared" ref="E18:F18" si="7">0.0017*(E17+$C$2)/2+3.917</f>
        <v>3.9925944907936972</v>
      </c>
      <c r="F18" s="10">
        <f t="shared" si="7"/>
        <v>3.9925897287256373</v>
      </c>
      <c r="G18" s="10">
        <f>0.0017*(G17+$C$2)/2+3.917</f>
        <v>3.9925861242432195</v>
      </c>
      <c r="H18" s="10">
        <f>0.0017*(H17+$C$2)/2+3.917</f>
        <v>3.9925833010020071</v>
      </c>
      <c r="I18" s="10">
        <f>0.0017*(I17+$C$2)/2+3.917</f>
        <v>3.9925810298450668</v>
      </c>
      <c r="K18" t="s">
        <v>57</v>
      </c>
    </row>
    <row r="19" spans="1:11">
      <c r="A19" t="s">
        <v>36</v>
      </c>
      <c r="C19" s="11">
        <f t="shared" ref="C19:I19" si="8">(C12-$I$12)/$I$12</f>
        <v>-3.2699661549007185E-2</v>
      </c>
      <c r="D19" s="11">
        <f t="shared" si="8"/>
        <v>-2.2037553522972642E-2</v>
      </c>
      <c r="E19" s="11">
        <f t="shared" si="8"/>
        <v>-1.4799313304201783E-2</v>
      </c>
      <c r="F19" s="11">
        <f t="shared" si="8"/>
        <v>-9.5638799036100678E-3</v>
      </c>
      <c r="G19" s="11">
        <f t="shared" si="8"/>
        <v>-5.601022388590453E-3</v>
      </c>
      <c r="H19" s="11">
        <f t="shared" si="8"/>
        <v>-2.4970339950571756E-3</v>
      </c>
      <c r="I19" s="11">
        <f t="shared" si="8"/>
        <v>0</v>
      </c>
      <c r="K19" t="s">
        <v>37</v>
      </c>
    </row>
    <row r="20" spans="1:11">
      <c r="A20" t="s">
        <v>38</v>
      </c>
      <c r="B20" s="1" t="s">
        <v>39</v>
      </c>
      <c r="C20" s="9">
        <f>C12/3.9</f>
        <v>535.30586687111474</v>
      </c>
      <c r="D20" s="9">
        <f t="shared" ref="D20:I20" si="9">D12/3.9</f>
        <v>541.20629794993522</v>
      </c>
      <c r="E20" s="9">
        <f t="shared" si="9"/>
        <v>545.2119540020517</v>
      </c>
      <c r="F20" s="9">
        <f t="shared" si="9"/>
        <v>548.10925291072124</v>
      </c>
      <c r="G20" s="9">
        <f t="shared" si="9"/>
        <v>550.30230587787037</v>
      </c>
      <c r="H20" s="9">
        <f t="shared" si="9"/>
        <v>552.02005902206861</v>
      </c>
      <c r="I20" s="9">
        <f t="shared" si="9"/>
        <v>553.40192243531953</v>
      </c>
      <c r="K20" t="s">
        <v>58</v>
      </c>
    </row>
    <row r="21" spans="1:11">
      <c r="A21" t="s">
        <v>40</v>
      </c>
      <c r="B21" s="1" t="s">
        <v>41</v>
      </c>
      <c r="C21" s="8">
        <f>0.0796*C9^2+0.4718*C9-0.86</f>
        <v>15.7078892733564</v>
      </c>
      <c r="D21" s="8">
        <f t="shared" ref="D21:I21" si="10">0.0796*D9^2+0.4718*D9-0.86</f>
        <v>23.292768166089964</v>
      </c>
      <c r="E21" s="8">
        <f t="shared" si="10"/>
        <v>32.254809688581325</v>
      </c>
      <c r="F21" s="8">
        <f t="shared" si="10"/>
        <v>42.594013840830442</v>
      </c>
      <c r="G21" s="8">
        <f t="shared" si="10"/>
        <v>54.310380622837364</v>
      </c>
      <c r="H21" s="8">
        <f t="shared" si="10"/>
        <v>67.403910034602077</v>
      </c>
      <c r="I21" s="8">
        <f t="shared" si="10"/>
        <v>81.87460207612456</v>
      </c>
      <c r="K21" t="s">
        <v>42</v>
      </c>
    </row>
    <row r="22" spans="1:11">
      <c r="A22" t="s">
        <v>43</v>
      </c>
      <c r="B22" s="1" t="s">
        <v>44</v>
      </c>
      <c r="C22" s="8">
        <f>C21*C9/60</f>
        <v>3.079978288893412</v>
      </c>
      <c r="D22" s="8">
        <f t="shared" ref="D22:I22" si="11">D21*D9*60/1000/3.6</f>
        <v>5.7090118054142076</v>
      </c>
      <c r="E22" s="8">
        <f t="shared" si="11"/>
        <v>9.4867087319356855</v>
      </c>
      <c r="F22" s="8">
        <f t="shared" si="11"/>
        <v>14.615592984598681</v>
      </c>
      <c r="G22" s="8">
        <f t="shared" si="11"/>
        <v>21.298188479544063</v>
      </c>
      <c r="H22" s="8">
        <f t="shared" si="11"/>
        <v>29.737019132912678</v>
      </c>
      <c r="I22" s="8">
        <f t="shared" si="11"/>
        <v>40.134608860845368</v>
      </c>
      <c r="K22" t="s">
        <v>45</v>
      </c>
    </row>
    <row r="23" spans="1:11">
      <c r="A23" t="s">
        <v>46</v>
      </c>
      <c r="B23" s="1" t="s">
        <v>47</v>
      </c>
      <c r="C23" s="8">
        <f>C22/0.6</f>
        <v>5.1332971481556866</v>
      </c>
      <c r="D23" s="8">
        <f>D22/0.6</f>
        <v>9.5150196756903469</v>
      </c>
      <c r="E23" s="8">
        <f t="shared" ref="E23:F23" si="12">E22/0.6</f>
        <v>15.811181219892809</v>
      </c>
      <c r="F23" s="8">
        <f t="shared" si="12"/>
        <v>24.359321640997802</v>
      </c>
      <c r="G23" s="8">
        <f>G22/0.6</f>
        <v>35.496980799240106</v>
      </c>
      <c r="H23" s="8">
        <f>H22/0.6</f>
        <v>49.561698554854466</v>
      </c>
      <c r="I23" s="8">
        <f>I22/0.6</f>
        <v>66.891014768075621</v>
      </c>
      <c r="K23" t="s">
        <v>48</v>
      </c>
    </row>
    <row r="24" spans="1:11">
      <c r="A24" t="s">
        <v>49</v>
      </c>
      <c r="B24" s="1" t="s">
        <v>50</v>
      </c>
      <c r="C24" s="9">
        <f>C20+C23</f>
        <v>540.43916401927038</v>
      </c>
      <c r="D24" s="9">
        <f t="shared" ref="D24:I24" si="13">D20+D23</f>
        <v>550.7213176256256</v>
      </c>
      <c r="E24" s="9">
        <f t="shared" si="13"/>
        <v>561.02313522194447</v>
      </c>
      <c r="F24" s="9">
        <f t="shared" si="13"/>
        <v>572.46857455171903</v>
      </c>
      <c r="G24" s="9">
        <f t="shared" si="13"/>
        <v>585.79928667711044</v>
      </c>
      <c r="H24" s="9">
        <f t="shared" si="13"/>
        <v>601.58175757692311</v>
      </c>
      <c r="I24" s="9">
        <f t="shared" si="13"/>
        <v>620.29293720339513</v>
      </c>
      <c r="K24" t="s">
        <v>51</v>
      </c>
    </row>
    <row r="25" spans="1:11">
      <c r="A25" t="s">
        <v>52</v>
      </c>
      <c r="C25" s="11">
        <f>($I$24-C24)/$I$24</f>
        <v>0.12873558345537078</v>
      </c>
      <c r="D25" s="11">
        <f t="shared" ref="D25:I25" si="14">($I$24-D24)/$I$24</f>
        <v>0.11215929668881087</v>
      </c>
      <c r="E25" s="11">
        <f t="shared" si="14"/>
        <v>9.5551308787538203E-2</v>
      </c>
      <c r="F25" s="11">
        <f t="shared" si="14"/>
        <v>7.7099640804058373E-2</v>
      </c>
      <c r="G25" s="11">
        <f t="shared" si="14"/>
        <v>5.5608646266069213E-2</v>
      </c>
      <c r="H25" s="11">
        <f t="shared" si="14"/>
        <v>3.0165069605389668E-2</v>
      </c>
      <c r="I25" s="11">
        <f t="shared" si="14"/>
        <v>0</v>
      </c>
      <c r="K25" t="s">
        <v>53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</cp:lastModifiedBy>
  <dcterms:created xsi:type="dcterms:W3CDTF">2023-12-16T14:39:33Z</dcterms:created>
  <dcterms:modified xsi:type="dcterms:W3CDTF">2023-12-16T15:19:12Z</dcterms:modified>
</cp:coreProperties>
</file>