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ad9afd1f198ceb2/Houses/Cabin/Heating/"/>
    </mc:Choice>
  </mc:AlternateContent>
  <xr:revisionPtr revIDLastSave="161" documentId="8_{3C67FD80-F90F-7D4D-8B1C-FA4AB4A4BFDD}" xr6:coauthVersionLast="47" xr6:coauthVersionMax="47" xr10:uidLastSave="{CEDF9D3F-0227-CF41-85B4-ECB638860378}"/>
  <bookViews>
    <workbookView xWindow="0" yWindow="880" windowWidth="36000" windowHeight="22500" activeTab="8" xr2:uid="{51A195C8-6162-4845-90DE-8D7764D1CD2C}"/>
  </bookViews>
  <sheets>
    <sheet name="Global Variables" sheetId="3" r:id="rId1"/>
    <sheet name="Pump Energy + Authority" sheetId="9" r:id="rId2"/>
    <sheet name="Heat Pump" sheetId="6" r:id="rId3"/>
    <sheet name="Heat Meter" sheetId="8" r:id="rId4"/>
    <sheet name="Emitters" sheetId="2" r:id="rId5"/>
    <sheet name="Pipes" sheetId="4" r:id="rId6"/>
    <sheet name="Taps" sheetId="7" r:id="rId7"/>
    <sheet name="Valves" sheetId="5" r:id="rId8"/>
    <sheet name="Runtime" sheetId="1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10" l="1"/>
  <c r="D16" i="10"/>
  <c r="C16" i="10"/>
  <c r="F16" i="10"/>
  <c r="F13" i="10"/>
  <c r="F7" i="10"/>
  <c r="E7" i="10"/>
  <c r="D7" i="10"/>
  <c r="C7" i="10"/>
  <c r="E8" i="10"/>
  <c r="F8" i="10"/>
  <c r="F6" i="10"/>
  <c r="F5" i="10"/>
  <c r="E6" i="10"/>
  <c r="E5" i="10"/>
  <c r="E4" i="10"/>
  <c r="F10" i="10"/>
  <c r="D10" i="10"/>
  <c r="E10" i="10"/>
  <c r="D8" i="10"/>
  <c r="D6" i="10"/>
  <c r="D5" i="10"/>
  <c r="D4" i="10"/>
  <c r="C10" i="10"/>
  <c r="C8" i="10"/>
  <c r="C6" i="10"/>
  <c r="C5" i="10"/>
  <c r="C4" i="10"/>
  <c r="M65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49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3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7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H65" i="2"/>
  <c r="G65" i="2"/>
  <c r="F65" i="2"/>
  <c r="F4" i="10" s="1"/>
  <c r="E65" i="2"/>
  <c r="W63" i="2"/>
  <c r="V63" i="2"/>
  <c r="N63" i="2"/>
  <c r="L63" i="2"/>
  <c r="W62" i="2"/>
  <c r="V62" i="2"/>
  <c r="K62" i="2"/>
  <c r="N62" i="2" s="1"/>
  <c r="W61" i="2"/>
  <c r="V61" i="2"/>
  <c r="L61" i="2"/>
  <c r="X61" i="2" s="1"/>
  <c r="Y61" i="2" s="1"/>
  <c r="W60" i="2"/>
  <c r="V60" i="2"/>
  <c r="K60" i="2"/>
  <c r="N60" i="2" s="1"/>
  <c r="W59" i="2"/>
  <c r="V59" i="2"/>
  <c r="K59" i="2"/>
  <c r="N59" i="2" s="1"/>
  <c r="W58" i="2"/>
  <c r="V58" i="2"/>
  <c r="K58" i="2"/>
  <c r="L58" i="2" s="1"/>
  <c r="W57" i="2"/>
  <c r="V57" i="2"/>
  <c r="K57" i="2"/>
  <c r="N57" i="2" s="1"/>
  <c r="W56" i="2"/>
  <c r="V56" i="2"/>
  <c r="K56" i="2"/>
  <c r="N56" i="2" s="1"/>
  <c r="W55" i="2"/>
  <c r="V55" i="2"/>
  <c r="K55" i="2"/>
  <c r="N55" i="2" s="1"/>
  <c r="W54" i="2"/>
  <c r="V54" i="2"/>
  <c r="K54" i="2"/>
  <c r="L54" i="2" s="1"/>
  <c r="X54" i="2" s="1"/>
  <c r="Y54" i="2" s="1"/>
  <c r="W53" i="2"/>
  <c r="V53" i="2"/>
  <c r="K53" i="2"/>
  <c r="N53" i="2" s="1"/>
  <c r="W52" i="2"/>
  <c r="V52" i="2"/>
  <c r="K52" i="2"/>
  <c r="N52" i="2" s="1"/>
  <c r="W51" i="2"/>
  <c r="V51" i="2"/>
  <c r="K51" i="2"/>
  <c r="N51" i="2" s="1"/>
  <c r="H49" i="2"/>
  <c r="G49" i="2"/>
  <c r="F49" i="2"/>
  <c r="E49" i="2"/>
  <c r="W47" i="2"/>
  <c r="V47" i="2"/>
  <c r="N47" i="2"/>
  <c r="W46" i="2"/>
  <c r="V46" i="2"/>
  <c r="K46" i="2"/>
  <c r="N46" i="2" s="1"/>
  <c r="W45" i="2"/>
  <c r="V45" i="2"/>
  <c r="L45" i="2"/>
  <c r="X45" i="2" s="1"/>
  <c r="Y45" i="2" s="1"/>
  <c r="W44" i="2"/>
  <c r="V44" i="2"/>
  <c r="K44" i="2"/>
  <c r="N44" i="2" s="1"/>
  <c r="W43" i="2"/>
  <c r="V43" i="2"/>
  <c r="K43" i="2"/>
  <c r="N43" i="2" s="1"/>
  <c r="W42" i="2"/>
  <c r="V42" i="2"/>
  <c r="K42" i="2"/>
  <c r="L42" i="2" s="1"/>
  <c r="X42" i="2" s="1"/>
  <c r="Y42" i="2" s="1"/>
  <c r="W41" i="2"/>
  <c r="V41" i="2"/>
  <c r="X41" i="2" s="1"/>
  <c r="Y41" i="2" s="1"/>
  <c r="N41" i="2"/>
  <c r="L41" i="2"/>
  <c r="K41" i="2"/>
  <c r="W40" i="2"/>
  <c r="V40" i="2"/>
  <c r="N40" i="2"/>
  <c r="L40" i="2"/>
  <c r="X40" i="2" s="1"/>
  <c r="Y40" i="2" s="1"/>
  <c r="K40" i="2"/>
  <c r="W39" i="2"/>
  <c r="V39" i="2"/>
  <c r="K39" i="2"/>
  <c r="L39" i="2" s="1"/>
  <c r="X39" i="2" s="1"/>
  <c r="Y39" i="2" s="1"/>
  <c r="W38" i="2"/>
  <c r="V38" i="2"/>
  <c r="K38" i="2"/>
  <c r="N38" i="2" s="1"/>
  <c r="W37" i="2"/>
  <c r="V37" i="2"/>
  <c r="K37" i="2"/>
  <c r="N37" i="2" s="1"/>
  <c r="W36" i="2"/>
  <c r="V36" i="2"/>
  <c r="K36" i="2"/>
  <c r="N36" i="2" s="1"/>
  <c r="W35" i="2"/>
  <c r="V35" i="2"/>
  <c r="K35" i="2"/>
  <c r="N35" i="2" s="1"/>
  <c r="M15" i="7"/>
  <c r="N15" i="7" s="1"/>
  <c r="L14" i="7"/>
  <c r="L15" i="7"/>
  <c r="L3" i="7"/>
  <c r="L4" i="7"/>
  <c r="L5" i="7"/>
  <c r="L6" i="7"/>
  <c r="M14" i="7"/>
  <c r="N14" i="7" s="1"/>
  <c r="H33" i="2"/>
  <c r="G33" i="2"/>
  <c r="F33" i="2"/>
  <c r="E33" i="2"/>
  <c r="W31" i="2"/>
  <c r="V31" i="2"/>
  <c r="K31" i="2"/>
  <c r="L31" i="2" s="1"/>
  <c r="X31" i="2" s="1"/>
  <c r="Y31" i="2" s="1"/>
  <c r="W30" i="2"/>
  <c r="V30" i="2"/>
  <c r="K30" i="2"/>
  <c r="N30" i="2" s="1"/>
  <c r="W29" i="2"/>
  <c r="V29" i="2"/>
  <c r="K29" i="2"/>
  <c r="L29" i="2" s="1"/>
  <c r="X29" i="2" s="1"/>
  <c r="Y29" i="2" s="1"/>
  <c r="W28" i="2"/>
  <c r="V28" i="2"/>
  <c r="K28" i="2"/>
  <c r="N28" i="2" s="1"/>
  <c r="W27" i="2"/>
  <c r="V27" i="2"/>
  <c r="K27" i="2"/>
  <c r="N27" i="2" s="1"/>
  <c r="W26" i="2"/>
  <c r="V26" i="2"/>
  <c r="K26" i="2"/>
  <c r="L26" i="2" s="1"/>
  <c r="X26" i="2" s="1"/>
  <c r="Y26" i="2" s="1"/>
  <c r="W25" i="2"/>
  <c r="V25" i="2"/>
  <c r="K25" i="2"/>
  <c r="N25" i="2" s="1"/>
  <c r="W24" i="2"/>
  <c r="V24" i="2"/>
  <c r="K24" i="2"/>
  <c r="N24" i="2" s="1"/>
  <c r="W23" i="2"/>
  <c r="V23" i="2"/>
  <c r="K23" i="2"/>
  <c r="N23" i="2" s="1"/>
  <c r="W22" i="2"/>
  <c r="V22" i="2"/>
  <c r="K22" i="2"/>
  <c r="N22" i="2" s="1"/>
  <c r="W21" i="2"/>
  <c r="V21" i="2"/>
  <c r="K21" i="2"/>
  <c r="N21" i="2" s="1"/>
  <c r="W20" i="2"/>
  <c r="V20" i="2"/>
  <c r="K20" i="2"/>
  <c r="N20" i="2" s="1"/>
  <c r="W19" i="2"/>
  <c r="V19" i="2"/>
  <c r="K19" i="2"/>
  <c r="N19" i="2" s="1"/>
  <c r="L10" i="7"/>
  <c r="C20" i="9"/>
  <c r="F23" i="5"/>
  <c r="G23" i="5" s="1"/>
  <c r="H23" i="5" s="1"/>
  <c r="F22" i="5"/>
  <c r="G22" i="5" s="1"/>
  <c r="H22" i="5" s="1"/>
  <c r="F21" i="5"/>
  <c r="G21" i="5" s="1"/>
  <c r="H21" i="5" s="1"/>
  <c r="F20" i="5"/>
  <c r="G20" i="5" s="1"/>
  <c r="H20" i="5" s="1"/>
  <c r="F14" i="5"/>
  <c r="G14" i="5" s="1"/>
  <c r="H14" i="5" s="1"/>
  <c r="F13" i="5"/>
  <c r="G13" i="5" s="1"/>
  <c r="H13" i="5" s="1"/>
  <c r="F12" i="5"/>
  <c r="G12" i="5" s="1"/>
  <c r="H12" i="5" s="1"/>
  <c r="F11" i="5"/>
  <c r="G11" i="5" s="1"/>
  <c r="H11" i="5" s="1"/>
  <c r="F10" i="5"/>
  <c r="G10" i="5" s="1"/>
  <c r="H10" i="5" s="1"/>
  <c r="X53" i="5"/>
  <c r="Z53" i="5" s="1"/>
  <c r="AA53" i="5" s="1"/>
  <c r="AB53" i="5" s="1"/>
  <c r="X52" i="5"/>
  <c r="Z52" i="5" s="1"/>
  <c r="AA52" i="5" s="1"/>
  <c r="AB52" i="5" s="1"/>
  <c r="X5" i="5"/>
  <c r="Z5" i="5" s="1"/>
  <c r="AA5" i="5" s="1"/>
  <c r="X4" i="5"/>
  <c r="Z4" i="5" s="1"/>
  <c r="F8" i="5"/>
  <c r="G8" i="5" s="1"/>
  <c r="H8" i="5" s="1"/>
  <c r="F56" i="5"/>
  <c r="G56" i="5" s="1"/>
  <c r="H56" i="5" s="1"/>
  <c r="F57" i="5"/>
  <c r="G57" i="5" s="1"/>
  <c r="H57" i="5" s="1"/>
  <c r="F58" i="5"/>
  <c r="G58" i="5" s="1"/>
  <c r="H58" i="5" s="1"/>
  <c r="F59" i="5"/>
  <c r="G59" i="5" s="1"/>
  <c r="H59" i="5" s="1"/>
  <c r="F60" i="5"/>
  <c r="G60" i="5" s="1"/>
  <c r="H60" i="5" s="1"/>
  <c r="F61" i="5"/>
  <c r="G61" i="5" s="1"/>
  <c r="H61" i="5" s="1"/>
  <c r="F62" i="5"/>
  <c r="G62" i="5" s="1"/>
  <c r="H62" i="5" s="1"/>
  <c r="F63" i="5"/>
  <c r="G63" i="5" s="1"/>
  <c r="H63" i="5" s="1"/>
  <c r="F64" i="5"/>
  <c r="G64" i="5" s="1"/>
  <c r="H64" i="5" s="1"/>
  <c r="F65" i="5"/>
  <c r="G65" i="5" s="1"/>
  <c r="H65" i="5" s="1"/>
  <c r="F66" i="5"/>
  <c r="G66" i="5" s="1"/>
  <c r="H66" i="5" s="1"/>
  <c r="F67" i="5"/>
  <c r="G67" i="5" s="1"/>
  <c r="H67" i="5" s="1"/>
  <c r="F42" i="5"/>
  <c r="G42" i="5" s="1"/>
  <c r="H42" i="5" s="1"/>
  <c r="F41" i="5"/>
  <c r="G41" i="5" s="1"/>
  <c r="H41" i="5" s="1"/>
  <c r="F40" i="5"/>
  <c r="G40" i="5" s="1"/>
  <c r="H40" i="5" s="1"/>
  <c r="F39" i="5"/>
  <c r="G39" i="5" s="1"/>
  <c r="H39" i="5" s="1"/>
  <c r="F38" i="5"/>
  <c r="G38" i="5" s="1"/>
  <c r="H38" i="5" s="1"/>
  <c r="F37" i="5"/>
  <c r="G37" i="5" s="1"/>
  <c r="H37" i="5" s="1"/>
  <c r="F36" i="5"/>
  <c r="G36" i="5" s="1"/>
  <c r="H36" i="5" s="1"/>
  <c r="F35" i="5"/>
  <c r="G35" i="5" s="1"/>
  <c r="H35" i="5" s="1"/>
  <c r="F34" i="5"/>
  <c r="G34" i="5" s="1"/>
  <c r="H34" i="5" s="1"/>
  <c r="F33" i="5"/>
  <c r="G33" i="5" s="1"/>
  <c r="H33" i="5" s="1"/>
  <c r="F32" i="5"/>
  <c r="G32" i="5" s="1"/>
  <c r="H32" i="5" s="1"/>
  <c r="F31" i="5"/>
  <c r="G31" i="5" s="1"/>
  <c r="H31" i="5" s="1"/>
  <c r="F30" i="5"/>
  <c r="G30" i="5" s="1"/>
  <c r="H30" i="5" s="1"/>
  <c r="F29" i="5"/>
  <c r="G29" i="5" s="1"/>
  <c r="H29" i="5" s="1"/>
  <c r="F28" i="5"/>
  <c r="G28" i="5" s="1"/>
  <c r="H28" i="5" s="1"/>
  <c r="F27" i="5"/>
  <c r="G27" i="5" s="1"/>
  <c r="H27" i="5" s="1"/>
  <c r="F19" i="5"/>
  <c r="G19" i="5" s="1"/>
  <c r="H19" i="5" s="1"/>
  <c r="F18" i="5"/>
  <c r="G18" i="5" s="1"/>
  <c r="H18" i="5" s="1"/>
  <c r="F17" i="5"/>
  <c r="G17" i="5" s="1"/>
  <c r="H17" i="5" s="1"/>
  <c r="F16" i="5"/>
  <c r="G16" i="5" s="1"/>
  <c r="H16" i="5" s="1"/>
  <c r="F15" i="5"/>
  <c r="G15" i="5" s="1"/>
  <c r="H15" i="5" s="1"/>
  <c r="F9" i="5"/>
  <c r="G9" i="5" s="1"/>
  <c r="F7" i="5"/>
  <c r="G7" i="5" s="1"/>
  <c r="F6" i="5"/>
  <c r="G6" i="5" s="1"/>
  <c r="F5" i="5"/>
  <c r="F71" i="5"/>
  <c r="F70" i="5"/>
  <c r="G70" i="5" s="1"/>
  <c r="F69" i="5"/>
  <c r="G69" i="5" s="1"/>
  <c r="F68" i="5"/>
  <c r="F55" i="5"/>
  <c r="G55" i="5" s="1"/>
  <c r="F54" i="5"/>
  <c r="G54" i="5" s="1"/>
  <c r="F53" i="5"/>
  <c r="G53" i="5" s="1"/>
  <c r="F52" i="5"/>
  <c r="C4" i="9"/>
  <c r="C5" i="9" s="1"/>
  <c r="C7" i="9" s="1"/>
  <c r="C9" i="9" s="1"/>
  <c r="K3" i="8"/>
  <c r="C30" i="8" s="1"/>
  <c r="D30" i="8" s="1"/>
  <c r="E30" i="8" s="1"/>
  <c r="F11" i="10" l="1"/>
  <c r="F12" i="10" s="1"/>
  <c r="E11" i="10"/>
  <c r="E12" i="10" s="1"/>
  <c r="C11" i="10"/>
  <c r="C12" i="10" s="1"/>
  <c r="D11" i="10"/>
  <c r="D12" i="10" s="1"/>
  <c r="X58" i="2"/>
  <c r="Y58" i="2" s="1"/>
  <c r="X63" i="2"/>
  <c r="Y63" i="2" s="1"/>
  <c r="N58" i="2"/>
  <c r="L57" i="2"/>
  <c r="X57" i="2" s="1"/>
  <c r="Y57" i="2" s="1"/>
  <c r="N42" i="2"/>
  <c r="L55" i="2"/>
  <c r="X55" i="2" s="1"/>
  <c r="Y55" i="2" s="1"/>
  <c r="L56" i="2"/>
  <c r="X56" i="2" s="1"/>
  <c r="Y56" i="2" s="1"/>
  <c r="L53" i="2"/>
  <c r="X53" i="2" s="1"/>
  <c r="Y53" i="2" s="1"/>
  <c r="L52" i="2"/>
  <c r="X52" i="2" s="1"/>
  <c r="Y52" i="2" s="1"/>
  <c r="L60" i="2"/>
  <c r="X60" i="2" s="1"/>
  <c r="Y60" i="2" s="1"/>
  <c r="N61" i="2"/>
  <c r="N54" i="2"/>
  <c r="K65" i="2"/>
  <c r="L51" i="2"/>
  <c r="L59" i="2"/>
  <c r="X59" i="2" s="1"/>
  <c r="Y59" i="2" s="1"/>
  <c r="L62" i="2"/>
  <c r="X62" i="2" s="1"/>
  <c r="Y62" i="2" s="1"/>
  <c r="K49" i="2"/>
  <c r="L47" i="2"/>
  <c r="X47" i="2" s="1"/>
  <c r="Y47" i="2" s="1"/>
  <c r="N39" i="2"/>
  <c r="L46" i="2"/>
  <c r="X46" i="2" s="1"/>
  <c r="Y46" i="2" s="1"/>
  <c r="L37" i="2"/>
  <c r="X37" i="2" s="1"/>
  <c r="Y37" i="2" s="1"/>
  <c r="L36" i="2"/>
  <c r="X36" i="2" s="1"/>
  <c r="Y36" i="2" s="1"/>
  <c r="L44" i="2"/>
  <c r="X44" i="2" s="1"/>
  <c r="Y44" i="2" s="1"/>
  <c r="N45" i="2"/>
  <c r="L38" i="2"/>
  <c r="X38" i="2" s="1"/>
  <c r="Y38" i="2" s="1"/>
  <c r="L35" i="2"/>
  <c r="L43" i="2"/>
  <c r="X43" i="2" s="1"/>
  <c r="Y43" i="2" s="1"/>
  <c r="L25" i="2"/>
  <c r="X25" i="2" s="1"/>
  <c r="Y25" i="2" s="1"/>
  <c r="N26" i="2"/>
  <c r="K33" i="2"/>
  <c r="N31" i="2"/>
  <c r="L24" i="2"/>
  <c r="X24" i="2" s="1"/>
  <c r="Y24" i="2" s="1"/>
  <c r="L22" i="2"/>
  <c r="X22" i="2" s="1"/>
  <c r="Y22" i="2" s="1"/>
  <c r="L30" i="2"/>
  <c r="X30" i="2" s="1"/>
  <c r="Y30" i="2" s="1"/>
  <c r="L21" i="2"/>
  <c r="X21" i="2" s="1"/>
  <c r="Y21" i="2" s="1"/>
  <c r="L20" i="2"/>
  <c r="X20" i="2" s="1"/>
  <c r="Y20" i="2" s="1"/>
  <c r="L28" i="2"/>
  <c r="X28" i="2" s="1"/>
  <c r="Y28" i="2" s="1"/>
  <c r="N29" i="2"/>
  <c r="L23" i="2"/>
  <c r="X23" i="2" s="1"/>
  <c r="Y23" i="2" s="1"/>
  <c r="L19" i="2"/>
  <c r="L27" i="2"/>
  <c r="X27" i="2" s="1"/>
  <c r="Y27" i="2" s="1"/>
  <c r="AA4" i="5"/>
  <c r="AB4" i="5" s="1"/>
  <c r="AB5" i="5"/>
  <c r="G52" i="5"/>
  <c r="H52" i="5" s="1"/>
  <c r="G68" i="5"/>
  <c r="H68" i="5" s="1"/>
  <c r="G71" i="5"/>
  <c r="H71" i="5" s="1"/>
  <c r="G5" i="5"/>
  <c r="H5" i="5" s="1"/>
  <c r="H9" i="5"/>
  <c r="H6" i="5"/>
  <c r="H7" i="5"/>
  <c r="H69" i="5"/>
  <c r="H70" i="5"/>
  <c r="H55" i="5"/>
  <c r="H54" i="5"/>
  <c r="H53" i="5"/>
  <c r="C28" i="8"/>
  <c r="D28" i="8" s="1"/>
  <c r="E28" i="8" s="1"/>
  <c r="C29" i="8"/>
  <c r="D29" i="8" s="1"/>
  <c r="E29" i="8" s="1"/>
  <c r="C8" i="6"/>
  <c r="C7" i="6"/>
  <c r="W15" i="2"/>
  <c r="W14" i="2"/>
  <c r="W13" i="2"/>
  <c r="W12" i="2"/>
  <c r="W11" i="2"/>
  <c r="W10" i="2"/>
  <c r="W9" i="2"/>
  <c r="W8" i="2"/>
  <c r="W7" i="2"/>
  <c r="W6" i="2"/>
  <c r="W5" i="2"/>
  <c r="W4" i="2"/>
  <c r="W3" i="2"/>
  <c r="V3" i="2"/>
  <c r="V15" i="2"/>
  <c r="V14" i="2"/>
  <c r="V13" i="2"/>
  <c r="V12" i="2"/>
  <c r="V11" i="2"/>
  <c r="V10" i="2"/>
  <c r="V9" i="2"/>
  <c r="V8" i="2"/>
  <c r="V7" i="2"/>
  <c r="V6" i="2"/>
  <c r="V5" i="2"/>
  <c r="V4" i="2"/>
  <c r="M8" i="7"/>
  <c r="N8" i="7" s="1"/>
  <c r="M7" i="7"/>
  <c r="N7" i="7" s="1"/>
  <c r="M5" i="7"/>
  <c r="N5" i="7" s="1"/>
  <c r="M4" i="7"/>
  <c r="N4" i="7" s="1"/>
  <c r="N12" i="7"/>
  <c r="N11" i="7"/>
  <c r="M11" i="7"/>
  <c r="M12" i="7"/>
  <c r="M10" i="7"/>
  <c r="N10" i="7" s="1"/>
  <c r="M9" i="7"/>
  <c r="N9" i="7" s="1"/>
  <c r="M6" i="7"/>
  <c r="N6" i="7" s="1"/>
  <c r="M3" i="7"/>
  <c r="N3" i="7" s="1"/>
  <c r="L8" i="7"/>
  <c r="L7" i="7"/>
  <c r="L12" i="7"/>
  <c r="L11" i="7"/>
  <c r="L9" i="7"/>
  <c r="H17" i="2"/>
  <c r="G17" i="2"/>
  <c r="F17" i="2"/>
  <c r="E17" i="2"/>
  <c r="K15" i="2"/>
  <c r="N15" i="2" s="1"/>
  <c r="K13" i="2"/>
  <c r="N13" i="2" s="1"/>
  <c r="K14" i="2"/>
  <c r="L14" i="2" s="1"/>
  <c r="X14" i="2" s="1"/>
  <c r="Y14" i="2" s="1"/>
  <c r="K12" i="2"/>
  <c r="L12" i="2" s="1"/>
  <c r="X12" i="2" s="1"/>
  <c r="Y12" i="2" s="1"/>
  <c r="K11" i="2"/>
  <c r="L11" i="2" s="1"/>
  <c r="X11" i="2" s="1"/>
  <c r="Y11" i="2" s="1"/>
  <c r="K10" i="2"/>
  <c r="L10" i="2" s="1"/>
  <c r="X10" i="2" s="1"/>
  <c r="Y10" i="2" s="1"/>
  <c r="K9" i="2"/>
  <c r="L9" i="2" s="1"/>
  <c r="K8" i="2"/>
  <c r="L8" i="2" s="1"/>
  <c r="X8" i="2" s="1"/>
  <c r="Y8" i="2" s="1"/>
  <c r="K7" i="2"/>
  <c r="L7" i="2" s="1"/>
  <c r="X7" i="2" s="1"/>
  <c r="Y7" i="2" s="1"/>
  <c r="K6" i="2"/>
  <c r="L6" i="2" s="1"/>
  <c r="X6" i="2" s="1"/>
  <c r="Y6" i="2" s="1"/>
  <c r="K5" i="2"/>
  <c r="L5" i="2" s="1"/>
  <c r="X5" i="2" s="1"/>
  <c r="Y5" i="2" s="1"/>
  <c r="K4" i="2"/>
  <c r="L4" i="2" s="1"/>
  <c r="X4" i="2" s="1"/>
  <c r="Y4" i="2" s="1"/>
  <c r="K3" i="2"/>
  <c r="L3" i="2" s="1"/>
  <c r="X3" i="2" s="1"/>
  <c r="Y3" i="2" s="1"/>
  <c r="E11" i="4"/>
  <c r="E10" i="4"/>
  <c r="E9" i="4"/>
  <c r="E8" i="4"/>
  <c r="E7" i="4"/>
  <c r="E5" i="4"/>
  <c r="E4" i="4"/>
  <c r="E3" i="4"/>
  <c r="D13" i="10" l="1"/>
  <c r="E13" i="10"/>
  <c r="C13" i="10"/>
  <c r="X9" i="2"/>
  <c r="Y9" i="2" s="1"/>
  <c r="Y17" i="2" s="1"/>
  <c r="X51" i="2"/>
  <c r="L65" i="2"/>
  <c r="X35" i="2"/>
  <c r="L49" i="2"/>
  <c r="X19" i="2"/>
  <c r="L33" i="2"/>
  <c r="K17" i="2"/>
  <c r="L13" i="2"/>
  <c r="X13" i="2" s="1"/>
  <c r="Y13" i="2" s="1"/>
  <c r="N3" i="2"/>
  <c r="N5" i="2"/>
  <c r="N8" i="2"/>
  <c r="N10" i="2"/>
  <c r="N11" i="2"/>
  <c r="N9" i="2"/>
  <c r="N4" i="2"/>
  <c r="N12" i="2"/>
  <c r="L15" i="2"/>
  <c r="X15" i="2" s="1"/>
  <c r="Y15" i="2" s="1"/>
  <c r="N6" i="2"/>
  <c r="N14" i="2"/>
  <c r="N7" i="2"/>
  <c r="X17" i="2" l="1"/>
  <c r="X65" i="2"/>
  <c r="Y51" i="2"/>
  <c r="Y65" i="2" s="1"/>
  <c r="X49" i="2"/>
  <c r="Y35" i="2"/>
  <c r="Y49" i="2" s="1"/>
  <c r="Y19" i="2"/>
  <c r="Y33" i="2" s="1"/>
  <c r="X33" i="2"/>
  <c r="L17" i="2"/>
  <c r="C10" i="9"/>
</calcChain>
</file>

<file path=xl/sharedStrings.xml><?xml version="1.0" encoding="utf-8"?>
<sst xmlns="http://schemas.openxmlformats.org/spreadsheetml/2006/main" count="331" uniqueCount="168">
  <si>
    <t>OD (mm)</t>
  </si>
  <si>
    <t>Material</t>
  </si>
  <si>
    <t>ID (mm)</t>
  </si>
  <si>
    <t>Copper</t>
  </si>
  <si>
    <t>Wall thickness (mm)</t>
  </si>
  <si>
    <t>Snug</t>
  </si>
  <si>
    <t>Office</t>
  </si>
  <si>
    <t>Living Room</t>
  </si>
  <si>
    <t>Hall</t>
  </si>
  <si>
    <t>Kitchen Diner 1</t>
  </si>
  <si>
    <t>Kitchen Diner 2</t>
  </si>
  <si>
    <t>Master bedroom</t>
  </si>
  <si>
    <t>Guest Bedroom</t>
  </si>
  <si>
    <t>Gym</t>
  </si>
  <si>
    <t>Downstairs Bath (towel rail)</t>
  </si>
  <si>
    <t>Downstairs Bath (UFH)</t>
  </si>
  <si>
    <t>Upstairs Bath (towel rail)</t>
  </si>
  <si>
    <t>Upstairs Bath (UFH)</t>
  </si>
  <si>
    <t>700x1400 T22</t>
  </si>
  <si>
    <t>600x1800 T22</t>
  </si>
  <si>
    <t>700x1600 T22</t>
  </si>
  <si>
    <t>700x1400 T11</t>
  </si>
  <si>
    <t>Towel 1600x600</t>
  </si>
  <si>
    <t>Towel 1300x600</t>
  </si>
  <si>
    <t>Approx 2.5 m^2</t>
  </si>
  <si>
    <t>Approx 4 m^2</t>
  </si>
  <si>
    <t>Emitter</t>
  </si>
  <si>
    <t>Type</t>
  </si>
  <si>
    <t>DT50 output (W)</t>
  </si>
  <si>
    <t>https://www.wickes.co.uk/Homeline-by-Stelrad-700-x-1400mm-Type-22-Double-Panel-Premium-Double-Convector-Radiator/p/176251</t>
  </si>
  <si>
    <t>https://www.wickes.co.uk/Homeline-by-Stelrad-700-x-1600mm-Type-22-Double-Panel-Premium-Double-Convector-Radiator/p/176252</t>
  </si>
  <si>
    <t>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#fo_c=2832&amp;fo_k=1a519e7bf9563a6b02c4dc822e1516f6&amp;fo_s=gplauk</t>
  </si>
  <si>
    <t>https://www.bestheating.com/milano-nero-straight-black-heated-towel-rail-various-sizes-91121</t>
  </si>
  <si>
    <t>https://www.bestheating.com/milano-bow-black-d-bar-central-connection-heated-towel-rail-1269mm-x-600mm-97483</t>
  </si>
  <si>
    <t>Water Vouume (litres)</t>
  </si>
  <si>
    <t>Weight (kg)</t>
  </si>
  <si>
    <t>Link</t>
  </si>
  <si>
    <t>https://www.wickes.co.uk/Homeline-by-Stelrad-700-x-1400mm-Type-11-Single-Panel-Single-Convector-Radiator/p/176189</t>
  </si>
  <si>
    <t>Supply (degC)</t>
  </si>
  <si>
    <t>Return (degC)</t>
  </si>
  <si>
    <t>Radiator derating exponent</t>
  </si>
  <si>
    <t>UFH output W/m^2</t>
  </si>
  <si>
    <t>Room temp (degC)</t>
  </si>
  <si>
    <t>Global Variable</t>
  </si>
  <si>
    <t>Value</t>
  </si>
  <si>
    <t>Output (W)</t>
  </si>
  <si>
    <t>Flowrate (L/min)</t>
  </si>
  <si>
    <t>System Total</t>
  </si>
  <si>
    <t>Hep2o</t>
  </si>
  <si>
    <t>Area (m^2)</t>
  </si>
  <si>
    <t>Rad supply pipe velocity (m/sec)</t>
  </si>
  <si>
    <t>Pipe ID (mm)</t>
  </si>
  <si>
    <t>UFH mass (kg/m2)</t>
  </si>
  <si>
    <t>Pressure drop Pa/m
(15 mm Hep2o)</t>
  </si>
  <si>
    <t>Pressure drop Pa/m
(10 mm Hep2o)</t>
  </si>
  <si>
    <t>Reynolds No
(15 mm Hep2o)</t>
  </si>
  <si>
    <t>Reynolds No
(10 mm Hep2o)</t>
  </si>
  <si>
    <t>Roughness k (mm)</t>
  </si>
  <si>
    <t>Velocity (m/sec)
(15 mm Hep2o)</t>
  </si>
  <si>
    <t>Velocity (m/sec)
(10 mm Hep2o)</t>
  </si>
  <si>
    <t>Downstairs Shower</t>
  </si>
  <si>
    <t>Downstairs Basin</t>
  </si>
  <si>
    <t>Downstairs Toilet</t>
  </si>
  <si>
    <t>Upstairs Shower</t>
  </si>
  <si>
    <t>Upstairs Basin</t>
  </si>
  <si>
    <t>Upstairs Toilet</t>
  </si>
  <si>
    <t>Kitchen Tap</t>
  </si>
  <si>
    <t>Dishwasher</t>
  </si>
  <si>
    <t>Washing Machine</t>
  </si>
  <si>
    <t>Utility Tap</t>
  </si>
  <si>
    <t>Fixture</t>
  </si>
  <si>
    <t>Pressure Drop (bar)</t>
  </si>
  <si>
    <t>Run Length (m)</t>
  </si>
  <si>
    <t>10 or 15 mm?</t>
  </si>
  <si>
    <t>Clearance Time (sec)</t>
  </si>
  <si>
    <t>Clearance Volume (L)</t>
  </si>
  <si>
    <t>Distance (m)
[one way]</t>
  </si>
  <si>
    <t xml:space="preserve">Pressure Drop (kPa)
[supply and return]
15 mm Hep2o </t>
  </si>
  <si>
    <t>calculated manually - http://www.pressure-drop.online</t>
  </si>
  <si>
    <t xml:space="preserve">Pressure Drop (kPa)
[supply and return]
10 mm Hep2o </t>
  </si>
  <si>
    <t>Available head (kPa)</t>
  </si>
  <si>
    <t>Min flowrate (L/hour)</t>
  </si>
  <si>
    <t>Max flowrate (L/hour)</t>
  </si>
  <si>
    <t>Min flowrate (L/min)</t>
  </si>
  <si>
    <t>Max flowrate (L/min)</t>
  </si>
  <si>
    <t>Water volume (L)</t>
  </si>
  <si>
    <t>Max output @ 45/40 -7C (kW)</t>
  </si>
  <si>
    <t>Max output @ 45/40C -2C (kW)</t>
  </si>
  <si>
    <t>Min output @ 35/30C +12C (kW)</t>
  </si>
  <si>
    <t>Min output @ 35/30C +7C (kW)</t>
  </si>
  <si>
    <t>Model</t>
  </si>
  <si>
    <t>Nominal Flow (m3/hr)</t>
  </si>
  <si>
    <t>Starting flow (threshold flow) L/hour</t>
  </si>
  <si>
    <t>Legal dynamic range (min / rated)</t>
  </si>
  <si>
    <t>Minimum legal flowrate (L/hr)</t>
  </si>
  <si>
    <t>Rated legal flowrate (L/hour)</t>
  </si>
  <si>
    <t>Pressure loss at legal flowrate (kPa)</t>
  </si>
  <si>
    <t>Length (mm)</t>
  </si>
  <si>
    <t>Thread (-G)</t>
  </si>
  <si>
    <t>Kv (calculated)</t>
  </si>
  <si>
    <t>E4</t>
  </si>
  <si>
    <t>G 1 1/4"</t>
  </si>
  <si>
    <t>Pump efficiency</t>
  </si>
  <si>
    <t>Flowrate (L/hour)</t>
  </si>
  <si>
    <t>Pressure drop (kPa)</t>
  </si>
  <si>
    <t>Pump power (W)</t>
  </si>
  <si>
    <t>Annual run hours</t>
  </si>
  <si>
    <t>Annual Pumping Energy (kWh)</t>
  </si>
  <si>
    <t>(lose 10% as headroom)</t>
  </si>
  <si>
    <t>Flowrate at 45/40C (l/min)</t>
  </si>
  <si>
    <t>Flowrate at 45/40C (l/hour)</t>
  </si>
  <si>
    <t>Peak output (kW)</t>
  </si>
  <si>
    <t>Heat meter dP (kPa)</t>
  </si>
  <si>
    <t>IntaKlean dp (kPa)</t>
  </si>
  <si>
    <t>Distribution (index run)</t>
  </si>
  <si>
    <t>Annual Pumping Energy (kWh)
[terminal runs]</t>
  </si>
  <si>
    <t>Pump power (W)
[terminal runs]</t>
  </si>
  <si>
    <t>Kv</t>
  </si>
  <si>
    <t>Room temp offset (degK)</t>
  </si>
  <si>
    <t>Danfoss RAS-C2 TRV</t>
  </si>
  <si>
    <t>Danfoss RLV 15</t>
  </si>
  <si>
    <t>Number of Turns</t>
  </si>
  <si>
    <t>Presetting</t>
  </si>
  <si>
    <t>Danfoss RA-N</t>
  </si>
  <si>
    <t>Liquid filled (22 minute reaction time) actuator TRV</t>
  </si>
  <si>
    <t>N</t>
  </si>
  <si>
    <t>Kv Valve 2</t>
  </si>
  <si>
    <t>Kv Valve 1</t>
  </si>
  <si>
    <t>Combined Kv</t>
  </si>
  <si>
    <t>Description 1</t>
  </si>
  <si>
    <t>Description 2</t>
  </si>
  <si>
    <t>RLV 1.5 turns</t>
  </si>
  <si>
    <t>RA-N setting N</t>
  </si>
  <si>
    <t>RLV 0.25 turns</t>
  </si>
  <si>
    <t>RA-N setting 3</t>
  </si>
  <si>
    <t>Kv values at Xp=2K - this means that the valve is completely closed when room temperature rises 2K above current room temperature</t>
  </si>
  <si>
    <t>Kvs is the max possible valve opening (without an actuator head / with a very high temperature difference)</t>
  </si>
  <si>
    <t xml:space="preserve">Could probably even use RLV-S here (the </t>
  </si>
  <si>
    <t>Primaries</t>
  </si>
  <si>
    <t>0.4 L/sec; 0.8 m/sec in 28 mm Cu; 3.7 mbar/metre = 370 Pa/metre. Allow 20 metres for fittings etc? 7.4 kPa</t>
  </si>
  <si>
    <t>Balance available for control valves</t>
  </si>
  <si>
    <t>15 kPa is enough authority to balance</t>
  </si>
  <si>
    <t>3-port valve</t>
  </si>
  <si>
    <t>guestimate</t>
  </si>
  <si>
    <t>Approx pressure drops @ 45/40</t>
  </si>
  <si>
    <t>RAS-C2 at 2K</t>
  </si>
  <si>
    <t>RLV 4 turns</t>
  </si>
  <si>
    <t>Authority</t>
  </si>
  <si>
    <t>Touch small for big rad and too big for towel rail but works ok for gym rad</t>
  </si>
  <si>
    <t>Upstairs Toilet 2.0 -4.5</t>
  </si>
  <si>
    <t>Upstairs Toilet 2.0 -6.0</t>
  </si>
  <si>
    <t>Flowrate (m3/hr)</t>
  </si>
  <si>
    <t>System volume (litres)</t>
  </si>
  <si>
    <t>System supply temperature (dgeC)</t>
  </si>
  <si>
    <t>System return temperature (degC)</t>
  </si>
  <si>
    <t>Min output @ 45/40C -2C (kW)</t>
  </si>
  <si>
    <t>Heat pump miniumum input (W)</t>
  </si>
  <si>
    <t>Scenario</t>
  </si>
  <si>
    <t>45/40C @ -2C
All emitters</t>
  </si>
  <si>
    <t>35/30C @ +12C
All emitters</t>
  </si>
  <si>
    <t>45/40C @ -2C
Kitchen dinner gym bathrooms off</t>
  </si>
  <si>
    <t>35/30C @ +12C
Kitchen dinner gym bathrooms off</t>
  </si>
  <si>
    <t>Additional volume (litres</t>
  </si>
  <si>
    <t>System derated output (W)</t>
  </si>
  <si>
    <t>System dt50 Output (W)</t>
  </si>
  <si>
    <t>Minimum "net" heat input (W)</t>
  </si>
  <si>
    <t>Must cycle?</t>
  </si>
  <si>
    <t>Time per degC increase in water temp (mins)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</si>
</sst>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0.00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69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2" fontId="0" fillId="0" borderId="0" xfId="0" applyNumberFormat="1"/>
    <xf numFmtId="1" fontId="0" fillId="0" borderId="0" xfId="0" applyNumberFormat="1"/>
    <xf numFmtId="164" fontId="5" fillId="0" borderId="0" xfId="0" applyNumberFormat="1" applyFont="1"/>
    <xf numFmtId="0" fontId="5" fillId="0" borderId="0" xfId="0" applyFont="1"/>
    <xf numFmtId="1" fontId="2" fillId="0" borderId="0" xfId="0" applyNumberFormat="1" applyFo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3" borderId="0" xfId="0" applyNumberFormat="1" applyFill="1"/>
    <xf numFmtId="9" fontId="0" fillId="0" borderId="0" xfId="2" applyFont="1"/>
    <xf numFmtId="0" fontId="0" fillId="0" borderId="4" xfId="0" applyBorder="1"/>
    <xf numFmtId="0" fontId="0" fillId="0" borderId="5" xfId="0" applyBorder="1"/>
    <xf numFmtId="2" fontId="0" fillId="0" borderId="5" xfId="0" applyNumberFormat="1" applyBorder="1"/>
    <xf numFmtId="164" fontId="0" fillId="0" borderId="6" xfId="0" applyNumberFormat="1" applyBorder="1"/>
    <xf numFmtId="0" fontId="4" fillId="4" borderId="0" xfId="3" applyFill="1"/>
    <xf numFmtId="0" fontId="0" fillId="4" borderId="0" xfId="0" applyFill="1"/>
    <xf numFmtId="1" fontId="0" fillId="4" borderId="0" xfId="0" applyNumberFormat="1" applyFill="1"/>
    <xf numFmtId="164" fontId="0" fillId="4" borderId="0" xfId="0" applyNumberFormat="1" applyFill="1"/>
    <xf numFmtId="2" fontId="0" fillId="4" borderId="0" xfId="0" applyNumberFormat="1" applyFill="1"/>
    <xf numFmtId="0" fontId="2" fillId="4" borderId="0" xfId="0" applyFont="1" applyFill="1"/>
    <xf numFmtId="0" fontId="1" fillId="4" borderId="0" xfId="0" applyFont="1" applyFill="1"/>
    <xf numFmtId="1" fontId="0" fillId="4" borderId="0" xfId="1" applyNumberFormat="1" applyFont="1" applyFill="1"/>
    <xf numFmtId="0" fontId="4" fillId="5" borderId="0" xfId="3" applyFill="1"/>
    <xf numFmtId="0" fontId="0" fillId="5" borderId="0" xfId="0" applyFill="1"/>
    <xf numFmtId="1" fontId="0" fillId="5" borderId="0" xfId="0" applyNumberFormat="1" applyFill="1"/>
    <xf numFmtId="164" fontId="0" fillId="5" borderId="0" xfId="0" applyNumberFormat="1" applyFill="1"/>
    <xf numFmtId="2" fontId="0" fillId="5" borderId="0" xfId="0" applyNumberFormat="1" applyFill="1"/>
    <xf numFmtId="0" fontId="2" fillId="5" borderId="0" xfId="0" applyFont="1" applyFill="1"/>
    <xf numFmtId="0" fontId="1" fillId="5" borderId="0" xfId="0" applyFont="1" applyFill="1"/>
    <xf numFmtId="1" fontId="0" fillId="5" borderId="0" xfId="1" applyNumberFormat="1" applyFont="1" applyFill="1"/>
    <xf numFmtId="0" fontId="4" fillId="3" borderId="0" xfId="3" applyFill="1"/>
    <xf numFmtId="0" fontId="0" fillId="3" borderId="0" xfId="0" applyFill="1"/>
    <xf numFmtId="1" fontId="0" fillId="3" borderId="0" xfId="0" applyNumberFormat="1" applyFill="1"/>
    <xf numFmtId="2" fontId="0" fillId="3" borderId="0" xfId="0" applyNumberFormat="1" applyFill="1"/>
    <xf numFmtId="0" fontId="2" fillId="3" borderId="0" xfId="0" applyFont="1" applyFill="1"/>
    <xf numFmtId="0" fontId="1" fillId="3" borderId="0" xfId="0" applyFont="1" applyFill="1"/>
    <xf numFmtId="1" fontId="0" fillId="3" borderId="0" xfId="1" applyNumberFormat="1" applyFont="1" applyFill="1"/>
    <xf numFmtId="0" fontId="4" fillId="6" borderId="0" xfId="3" applyFill="1"/>
    <xf numFmtId="0" fontId="0" fillId="6" borderId="0" xfId="0" applyFill="1"/>
    <xf numFmtId="0" fontId="2" fillId="6" borderId="0" xfId="0" applyFont="1" applyFill="1"/>
    <xf numFmtId="1" fontId="0" fillId="6" borderId="0" xfId="0" applyNumberFormat="1" applyFill="1"/>
    <xf numFmtId="164" fontId="0" fillId="6" borderId="0" xfId="0" applyNumberFormat="1" applyFill="1"/>
    <xf numFmtId="2" fontId="0" fillId="6" borderId="0" xfId="0" applyNumberFormat="1" applyFill="1"/>
    <xf numFmtId="0" fontId="4" fillId="7" borderId="0" xfId="3" applyFill="1"/>
    <xf numFmtId="0" fontId="0" fillId="7" borderId="0" xfId="0" applyFill="1"/>
    <xf numFmtId="1" fontId="0" fillId="7" borderId="0" xfId="0" applyNumberFormat="1" applyFill="1"/>
    <xf numFmtId="164" fontId="0" fillId="7" borderId="0" xfId="0" applyNumberFormat="1" applyFill="1"/>
    <xf numFmtId="2" fontId="0" fillId="7" borderId="0" xfId="0" applyNumberFormat="1" applyFill="1"/>
    <xf numFmtId="0" fontId="2" fillId="7" borderId="0" xfId="0" applyFont="1" applyFill="1"/>
    <xf numFmtId="0" fontId="1" fillId="7" borderId="0" xfId="0" applyFont="1" applyFill="1"/>
    <xf numFmtId="1" fontId="0" fillId="7" borderId="0" xfId="1" applyNumberFormat="1" applyFont="1" applyFill="1"/>
    <xf numFmtId="165" fontId="1" fillId="5" borderId="0" xfId="0" applyNumberFormat="1" applyFont="1" applyFill="1"/>
    <xf numFmtId="165" fontId="1" fillId="0" borderId="0" xfId="0" applyNumberFormat="1" applyFont="1"/>
    <xf numFmtId="165" fontId="1" fillId="4" borderId="0" xfId="0" applyNumberFormat="1" applyFont="1" applyFill="1"/>
    <xf numFmtId="165" fontId="1" fillId="3" borderId="0" xfId="0" applyNumberFormat="1" applyFont="1" applyFill="1"/>
    <xf numFmtId="165" fontId="1" fillId="6" borderId="0" xfId="0" applyNumberFormat="1" applyFont="1" applyFill="1"/>
    <xf numFmtId="165" fontId="1" fillId="7" borderId="0" xfId="0" applyNumberFormat="1" applyFont="1" applyFill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0" borderId="0" xfId="0" applyFont="1" applyAlignment="1">
      <alignment wrapText="1"/>
    </xf>
  </cellXfs>
  <cellStyles count="4">
    <cellStyle name="Comma" xfId="1" builtinId="3"/>
    <cellStyle name="Hyperlink" xfId="3" builtinId="8"/>
    <cellStyle name="Normal" xfId="0" builtinId="0"/>
    <cellStyle name="Per cent" xfId="2" builtinId="5"/>
  </cellStyles>
  <dxfs count="7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2</xdr:row>
      <xdr:rowOff>50800</xdr:rowOff>
    </xdr:from>
    <xdr:to>
      <xdr:col>12</xdr:col>
      <xdr:colOff>519821</xdr:colOff>
      <xdr:row>51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70DF41-DD5E-1CF5-54B6-CF1F0212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57200"/>
          <a:ext cx="7060321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52</xdr:row>
      <xdr:rowOff>38100</xdr:rowOff>
    </xdr:from>
    <xdr:to>
      <xdr:col>12</xdr:col>
      <xdr:colOff>552704</xdr:colOff>
      <xdr:row>75</xdr:row>
      <xdr:rowOff>88900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7C065F-E92B-92D4-92F7-31B092A85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10604500"/>
          <a:ext cx="7055104" cy="472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88900</xdr:colOff>
      <xdr:row>2</xdr:row>
      <xdr:rowOff>114300</xdr:rowOff>
    </xdr:from>
    <xdr:to>
      <xdr:col>22</xdr:col>
      <xdr:colOff>347279</xdr:colOff>
      <xdr:row>52</xdr:row>
      <xdr:rowOff>12700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A534BDE-C62C-89B7-069E-25ABE597E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6400" y="520700"/>
          <a:ext cx="768787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</xdr:row>
      <xdr:rowOff>177800</xdr:rowOff>
    </xdr:from>
    <xdr:to>
      <xdr:col>5</xdr:col>
      <xdr:colOff>584200</xdr:colOff>
      <xdr:row>23</xdr:row>
      <xdr:rowOff>53169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0776D0-45C8-364B-936E-A1A6CE6B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" y="787400"/>
          <a:ext cx="7772400" cy="39393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241300</xdr:colOff>
      <xdr:row>54</xdr:row>
      <xdr:rowOff>88900</xdr:rowOff>
    </xdr:from>
    <xdr:to>
      <xdr:col>17</xdr:col>
      <xdr:colOff>559636</xdr:colOff>
      <xdr:row>72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F3D699-26B9-6955-54F1-3AB9A6F7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6900" y="9334500"/>
          <a:ext cx="6922336" cy="3594100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774700</xdr:colOff>
      <xdr:row>6</xdr:row>
      <xdr:rowOff>139700</xdr:rowOff>
    </xdr:from>
    <xdr:to>
      <xdr:col>17</xdr:col>
      <xdr:colOff>457200</xdr:colOff>
      <xdr:row>14</xdr:row>
      <xdr:rowOff>206676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D7F9A3-7BD3-6414-6598-BB93D0FA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4800" y="1358900"/>
          <a:ext cx="7112000" cy="1730676"/>
        </a:xfrm>
        <a:prstGeom prst="rect">
          <a:avLst/>
        </a:prstGeom>
      </xdr:spPr>
    </xdr:pic>
    <xdr:clientData/>
  </xdr:twoCellAnchor>
  <xdr:twoCellAnchor editAs="oneCell">
    <xdr:from>
      <xdr:col>8</xdr:col>
      <xdr:colOff>812800</xdr:colOff>
      <xdr:row>28</xdr:row>
      <xdr:rowOff>190500</xdr:rowOff>
    </xdr:from>
    <xdr:to>
      <xdr:col>15</xdr:col>
      <xdr:colOff>469900</xdr:colOff>
      <xdr:row>45</xdr:row>
      <xdr:rowOff>193455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865354-A437-8D93-48AF-7145F54F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2900" y="4102100"/>
          <a:ext cx="5435600" cy="3508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" TargetMode="External"/><Relationship Id="rId18" Type="http://schemas.openxmlformats.org/officeDocument/2006/relationships/hyperlink" Target="https://www.bestheating.com/milano-nero-straight-black-heated-towel-rail-various-sizes-91121" TargetMode="External"/><Relationship Id="rId26" Type="http://schemas.openxmlformats.org/officeDocument/2006/relationships/hyperlink" Target="https://www.wickes.co.uk/Homeline-by-Stelrad-700-x-1400mm-Type-22-Double-Panel-Premium-Double-Convector-Radiator/p/176251" TargetMode="External"/><Relationship Id="rId39" Type="http://schemas.openxmlformats.org/officeDocument/2006/relationships/hyperlink" Target="https://www.wickes.co.uk/Homeline-by-Stelrad-700-x-1400mm-Type-11-Single-Panel-Single-Convector-Radiator/p/176189" TargetMode="External"/><Relationship Id="rId21" Type="http://schemas.openxmlformats.org/officeDocument/2006/relationships/hyperlink" Target="https://www.wickes.co.uk/Homeline-by-Stelrad-700-x-1400mm-Type-22-Double-Panel-Premium-Double-Convector-Radiator/p/176251" TargetMode="External"/><Relationship Id="rId34" Type="http://schemas.openxmlformats.org/officeDocument/2006/relationships/hyperlink" Target="https://www.wickes.co.uk/Homeline-by-Stelrad-700-x-1600mm-Type-22-Double-Panel-Premium-Double-Convector-Radiator/p/176252" TargetMode="External"/><Relationship Id="rId42" Type="http://schemas.openxmlformats.org/officeDocument/2006/relationships/hyperlink" Target="https://www.wickes.co.uk/Homeline-by-Stelrad-700-x-1400mm-Type-22-Double-Panel-Premium-Double-Convector-Radiator/p/176251" TargetMode="External"/><Relationship Id="rId7" Type="http://schemas.openxmlformats.org/officeDocument/2006/relationships/hyperlink" Target="https://www.bestheating.com/milano-nero-straight-black-heated-towel-rail-various-sizes-91121" TargetMode="External"/><Relationship Id="rId2" Type="http://schemas.openxmlformats.org/officeDocument/2006/relationships/hyperlink" Target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" TargetMode="External"/><Relationship Id="rId16" Type="http://schemas.openxmlformats.org/officeDocument/2006/relationships/hyperlink" Target="https://www.bestheating.com/milano-bow-black-d-bar-central-connection-heated-towel-rail-1269mm-x-600mm-97483" TargetMode="External"/><Relationship Id="rId20" Type="http://schemas.openxmlformats.org/officeDocument/2006/relationships/hyperlink" Target="https://www.wickes.co.uk/Homeline-by-Stelrad-700-x-1400mm-Type-22-Double-Panel-Premium-Double-Convector-Radiator/p/176251" TargetMode="External"/><Relationship Id="rId29" Type="http://schemas.openxmlformats.org/officeDocument/2006/relationships/hyperlink" Target="https://www.bestheating.com/milano-nero-straight-black-heated-towel-rail-various-sizes-91121" TargetMode="External"/><Relationship Id="rId41" Type="http://schemas.openxmlformats.org/officeDocument/2006/relationships/hyperlink" Target="https://www.wickes.co.uk/Homeline-by-Stelrad-700-x-1400mm-Type-22-Double-Panel-Premium-Double-Convector-Radiator/p/176251" TargetMode="External"/><Relationship Id="rId1" Type="http://schemas.openxmlformats.org/officeDocument/2006/relationships/hyperlink" Target="https://www.wickes.co.uk/Homeline-by-Stelrad-700-x-1600mm-Type-22-Double-Panel-Premium-Double-Convector-Radiator/p/176252" TargetMode="External"/><Relationship Id="rId6" Type="http://schemas.openxmlformats.org/officeDocument/2006/relationships/hyperlink" Target="https://www.wickes.co.uk/Homeline-by-Stelrad-700-x-1400mm-Type-11-Single-Panel-Single-Convector-Radiator/p/176189" TargetMode="External"/><Relationship Id="rId11" Type="http://schemas.openxmlformats.org/officeDocument/2006/relationships/hyperlink" Target="https://www.wickes.co.uk/Homeline-by-Stelrad-700-x-1600mm-Type-22-Double-Panel-Premium-Double-Convector-Radiator/p/176252" TargetMode="External"/><Relationship Id="rId24" Type="http://schemas.openxmlformats.org/officeDocument/2006/relationships/hyperlink" Target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" TargetMode="External"/><Relationship Id="rId32" Type="http://schemas.openxmlformats.org/officeDocument/2006/relationships/hyperlink" Target="https://www.wickes.co.uk/Homeline-by-Stelrad-700-x-1400mm-Type-22-Double-Panel-Premium-Double-Convector-Radiator/p/176251" TargetMode="External"/><Relationship Id="rId37" Type="http://schemas.openxmlformats.org/officeDocument/2006/relationships/hyperlink" Target="https://www.wickes.co.uk/Homeline-by-Stelrad-700-x-1400mm-Type-22-Double-Panel-Premium-Double-Convector-Radiator/p/176251" TargetMode="External"/><Relationship Id="rId40" Type="http://schemas.openxmlformats.org/officeDocument/2006/relationships/hyperlink" Target="https://www.bestheating.com/milano-nero-straight-black-heated-towel-rail-various-sizes-91121" TargetMode="External"/><Relationship Id="rId5" Type="http://schemas.openxmlformats.org/officeDocument/2006/relationships/hyperlink" Target="https://www.bestheating.com/milano-bow-black-d-bar-central-connection-heated-towel-rail-1269mm-x-600mm-97483" TargetMode="External"/><Relationship Id="rId15" Type="http://schemas.openxmlformats.org/officeDocument/2006/relationships/hyperlink" Target="https://www.wickes.co.uk/Homeline-by-Stelrad-700-x-1400mm-Type-22-Double-Panel-Premium-Double-Convector-Radiator/p/176251" TargetMode="External"/><Relationship Id="rId23" Type="http://schemas.openxmlformats.org/officeDocument/2006/relationships/hyperlink" Target="https://www.wickes.co.uk/Homeline-by-Stelrad-700-x-1600mm-Type-22-Double-Panel-Premium-Double-Convector-Radiator/p/176252" TargetMode="External"/><Relationship Id="rId28" Type="http://schemas.openxmlformats.org/officeDocument/2006/relationships/hyperlink" Target="https://www.wickes.co.uk/Homeline-by-Stelrad-700-x-1400mm-Type-11-Single-Panel-Single-Convector-Radiator/p/176189" TargetMode="External"/><Relationship Id="rId36" Type="http://schemas.openxmlformats.org/officeDocument/2006/relationships/hyperlink" Target="https://www.wickes.co.uk/Homeline-by-Stelrad-700-x-1400mm-Type-22-Double-Panel-Premium-Double-Convector-Radiator/p/176251" TargetMode="External"/><Relationship Id="rId10" Type="http://schemas.openxmlformats.org/officeDocument/2006/relationships/hyperlink" Target="https://www.wickes.co.uk/Homeline-by-Stelrad-700-x-1400mm-Type-22-Double-Panel-Premium-Double-Convector-Radiator/p/176251" TargetMode="External"/><Relationship Id="rId19" Type="http://schemas.openxmlformats.org/officeDocument/2006/relationships/hyperlink" Target="https://www.wickes.co.uk/Homeline-by-Stelrad-700-x-1400mm-Type-22-Double-Panel-Premium-Double-Convector-Radiator/p/176251" TargetMode="External"/><Relationship Id="rId31" Type="http://schemas.openxmlformats.org/officeDocument/2006/relationships/hyperlink" Target="https://www.wickes.co.uk/Homeline-by-Stelrad-700-x-1400mm-Type-22-Double-Panel-Premium-Double-Convector-Radiator/p/176251" TargetMode="External"/><Relationship Id="rId44" Type="http://schemas.openxmlformats.org/officeDocument/2006/relationships/hyperlink" Target="https://www.wickes.co.uk/Homeline-by-Stelrad-700-x-1600mm-Type-22-Double-Panel-Premium-Double-Convector-Radiator/p/176252" TargetMode="External"/><Relationship Id="rId4" Type="http://schemas.openxmlformats.org/officeDocument/2006/relationships/hyperlink" Target="https://www.wickes.co.uk/Homeline-by-Stelrad-700-x-1400mm-Type-22-Double-Panel-Premium-Double-Convector-Radiator/p/176251" TargetMode="External"/><Relationship Id="rId9" Type="http://schemas.openxmlformats.org/officeDocument/2006/relationships/hyperlink" Target="https://www.wickes.co.uk/Homeline-by-Stelrad-700-x-1400mm-Type-22-Double-Panel-Premium-Double-Convector-Radiator/p/176251" TargetMode="External"/><Relationship Id="rId14" Type="http://schemas.openxmlformats.org/officeDocument/2006/relationships/hyperlink" Target="https://www.wickes.co.uk/Homeline-by-Stelrad-700-x-1400mm-Type-22-Double-Panel-Premium-Double-Convector-Radiator/p/176251" TargetMode="External"/><Relationship Id="rId22" Type="http://schemas.openxmlformats.org/officeDocument/2006/relationships/hyperlink" Target="https://www.wickes.co.uk/Homeline-by-Stelrad-700-x-1600mm-Type-22-Double-Panel-Premium-Double-Convector-Radiator/p/176252" TargetMode="External"/><Relationship Id="rId27" Type="http://schemas.openxmlformats.org/officeDocument/2006/relationships/hyperlink" Target="https://www.bestheating.com/milano-bow-black-d-bar-central-connection-heated-towel-rail-1269mm-x-600mm-97483" TargetMode="External"/><Relationship Id="rId30" Type="http://schemas.openxmlformats.org/officeDocument/2006/relationships/hyperlink" Target="https://www.wickes.co.uk/Homeline-by-Stelrad-700-x-1400mm-Type-22-Double-Panel-Premium-Double-Convector-Radiator/p/176251" TargetMode="External"/><Relationship Id="rId35" Type="http://schemas.openxmlformats.org/officeDocument/2006/relationships/hyperlink" Target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" TargetMode="External"/><Relationship Id="rId43" Type="http://schemas.openxmlformats.org/officeDocument/2006/relationships/hyperlink" Target="https://www.wickes.co.uk/Homeline-by-Stelrad-700-x-1400mm-Type-22-Double-Panel-Premium-Double-Convector-Radiator/p/176251" TargetMode="External"/><Relationship Id="rId8" Type="http://schemas.openxmlformats.org/officeDocument/2006/relationships/hyperlink" Target="https://www.wickes.co.uk/Homeline-by-Stelrad-700-x-1400mm-Type-22-Double-Panel-Premium-Double-Convector-Radiator/p/176251" TargetMode="External"/><Relationship Id="rId3" Type="http://schemas.openxmlformats.org/officeDocument/2006/relationships/hyperlink" Target="https://www.wickes.co.uk/Homeline-by-Stelrad-700-x-1400mm-Type-22-Double-Panel-Premium-Double-Convector-Radiator/p/176251" TargetMode="External"/><Relationship Id="rId12" Type="http://schemas.openxmlformats.org/officeDocument/2006/relationships/hyperlink" Target="https://www.wickes.co.uk/Homeline-by-Stelrad-700-x-1600mm-Type-22-Double-Panel-Premium-Double-Convector-Radiator/p/176252" TargetMode="External"/><Relationship Id="rId17" Type="http://schemas.openxmlformats.org/officeDocument/2006/relationships/hyperlink" Target="https://www.wickes.co.uk/Homeline-by-Stelrad-700-x-1400mm-Type-11-Single-Panel-Single-Convector-Radiator/p/176189" TargetMode="External"/><Relationship Id="rId25" Type="http://schemas.openxmlformats.org/officeDocument/2006/relationships/hyperlink" Target="https://www.wickes.co.uk/Homeline-by-Stelrad-700-x-1400mm-Type-22-Double-Panel-Premium-Double-Convector-Radiator/p/176251" TargetMode="External"/><Relationship Id="rId33" Type="http://schemas.openxmlformats.org/officeDocument/2006/relationships/hyperlink" Target="https://www.wickes.co.uk/Homeline-by-Stelrad-700-x-1600mm-Type-22-Double-Panel-Premium-Double-Convector-Radiator/p/176252" TargetMode="External"/><Relationship Id="rId38" Type="http://schemas.openxmlformats.org/officeDocument/2006/relationships/hyperlink" Target="https://www.bestheating.com/milano-bow-black-d-bar-central-connection-heated-towel-rail-1269mm-x-600mm-97483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C64B3-05ED-0B41-803E-A70BAB2179D7}">
  <dimension ref="B2:C9"/>
  <sheetViews>
    <sheetView workbookViewId="0">
      <selection activeCell="B9" sqref="B9"/>
    </sheetView>
  </sheetViews>
  <sheetFormatPr baseColWidth="10" defaultRowHeight="16" x14ac:dyDescent="0.2"/>
  <cols>
    <col min="2" max="2" width="28.1640625" bestFit="1" customWidth="1"/>
    <col min="3" max="3" width="5.83203125" bestFit="1" customWidth="1"/>
  </cols>
  <sheetData>
    <row r="2" spans="2:3" x14ac:dyDescent="0.2">
      <c r="B2" s="1" t="s">
        <v>43</v>
      </c>
      <c r="C2" s="1" t="s">
        <v>44</v>
      </c>
    </row>
    <row r="3" spans="2:3" x14ac:dyDescent="0.2">
      <c r="B3" t="s">
        <v>42</v>
      </c>
      <c r="C3">
        <v>20</v>
      </c>
    </row>
    <row r="4" spans="2:3" x14ac:dyDescent="0.2">
      <c r="B4" t="s">
        <v>40</v>
      </c>
      <c r="C4">
        <v>1.33</v>
      </c>
    </row>
    <row r="5" spans="2:3" x14ac:dyDescent="0.2">
      <c r="B5" t="s">
        <v>41</v>
      </c>
      <c r="C5">
        <v>50</v>
      </c>
    </row>
    <row r="6" spans="2:3" x14ac:dyDescent="0.2">
      <c r="B6" t="s">
        <v>52</v>
      </c>
      <c r="C6">
        <v>15</v>
      </c>
    </row>
    <row r="7" spans="2:3" x14ac:dyDescent="0.2">
      <c r="B7" t="s">
        <v>50</v>
      </c>
      <c r="C7">
        <v>1</v>
      </c>
    </row>
    <row r="8" spans="2:3" x14ac:dyDescent="0.2">
      <c r="B8" t="s">
        <v>102</v>
      </c>
      <c r="C8" s="17">
        <v>0.6</v>
      </c>
    </row>
    <row r="9" spans="2:3" x14ac:dyDescent="0.2">
      <c r="B9" t="s">
        <v>106</v>
      </c>
      <c r="C9">
        <v>3000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146C1-FDD4-1D49-B14F-1B638F7E5EC1}">
  <dimension ref="B2:E20"/>
  <sheetViews>
    <sheetView workbookViewId="0">
      <selection activeCell="C43" sqref="C43"/>
    </sheetView>
  </sheetViews>
  <sheetFormatPr baseColWidth="10" defaultRowHeight="16" x14ac:dyDescent="0.2"/>
  <cols>
    <col min="2" max="2" width="30.5" bestFit="1" customWidth="1"/>
    <col min="3" max="3" width="12.1640625" style="2" bestFit="1" customWidth="1"/>
    <col min="4" max="4" width="21.1640625" bestFit="1" customWidth="1"/>
    <col min="5" max="5" width="92.5" bestFit="1" customWidth="1"/>
    <col min="6" max="6" width="17.33203125" bestFit="1" customWidth="1"/>
    <col min="7" max="7" width="15.1640625" bestFit="1" customWidth="1"/>
    <col min="8" max="8" width="26.83203125" bestFit="1" customWidth="1"/>
  </cols>
  <sheetData>
    <row r="2" spans="2:5" x14ac:dyDescent="0.2">
      <c r="B2" t="s">
        <v>80</v>
      </c>
      <c r="C2" s="2">
        <v>40</v>
      </c>
      <c r="D2" t="s">
        <v>108</v>
      </c>
    </row>
    <row r="3" spans="2:5" x14ac:dyDescent="0.2">
      <c r="B3" t="s">
        <v>111</v>
      </c>
      <c r="C3" s="2">
        <v>9</v>
      </c>
    </row>
    <row r="4" spans="2:5" x14ac:dyDescent="0.2">
      <c r="B4" t="s">
        <v>109</v>
      </c>
      <c r="C4" s="2">
        <f>60*C3/(4.2*5)</f>
        <v>25.714285714285715</v>
      </c>
    </row>
    <row r="5" spans="2:5" x14ac:dyDescent="0.2">
      <c r="B5" t="s">
        <v>110</v>
      </c>
      <c r="C5" s="2">
        <f>C4*60</f>
        <v>1542.8571428571429</v>
      </c>
    </row>
    <row r="7" spans="2:5" x14ac:dyDescent="0.2">
      <c r="B7" s="1" t="s">
        <v>46</v>
      </c>
      <c r="C7">
        <f>C5/60</f>
        <v>25.714285714285715</v>
      </c>
    </row>
    <row r="8" spans="2:5" x14ac:dyDescent="0.2">
      <c r="B8" s="1" t="s">
        <v>104</v>
      </c>
      <c r="C8" s="4">
        <v>30</v>
      </c>
    </row>
    <row r="9" spans="2:5" x14ac:dyDescent="0.2">
      <c r="B9" s="1" t="s">
        <v>105</v>
      </c>
      <c r="C9" s="4">
        <f>((60*$C7/1000)*1000*9.81*(C8/10)/(3600))/'Global Variables'!$C$8</f>
        <v>21.021428571428572</v>
      </c>
    </row>
    <row r="10" spans="2:5" x14ac:dyDescent="0.2">
      <c r="B10" s="1" t="s">
        <v>107</v>
      </c>
      <c r="C10" s="2">
        <f>C9*'Global Variables'!$C$9/1000</f>
        <v>63.064285714285717</v>
      </c>
    </row>
    <row r="12" spans="2:5" x14ac:dyDescent="0.2">
      <c r="B12" s="1" t="s">
        <v>144</v>
      </c>
    </row>
    <row r="13" spans="2:5" x14ac:dyDescent="0.2">
      <c r="B13" t="s">
        <v>112</v>
      </c>
      <c r="C13" s="2">
        <v>1.5</v>
      </c>
    </row>
    <row r="14" spans="2:5" x14ac:dyDescent="0.2">
      <c r="B14" t="s">
        <v>113</v>
      </c>
      <c r="C14" s="2">
        <v>1.5</v>
      </c>
    </row>
    <row r="15" spans="2:5" x14ac:dyDescent="0.2">
      <c r="B15" t="s">
        <v>142</v>
      </c>
      <c r="C15" s="2">
        <v>1.5</v>
      </c>
      <c r="E15" t="s">
        <v>143</v>
      </c>
    </row>
    <row r="16" spans="2:5" x14ac:dyDescent="0.2">
      <c r="B16" t="s">
        <v>138</v>
      </c>
      <c r="C16" s="2">
        <v>7.5</v>
      </c>
      <c r="E16" t="s">
        <v>139</v>
      </c>
    </row>
    <row r="17" spans="2:5" x14ac:dyDescent="0.2">
      <c r="B17" t="s">
        <v>114</v>
      </c>
      <c r="C17" s="2">
        <v>10</v>
      </c>
    </row>
    <row r="18" spans="2:5" x14ac:dyDescent="0.2">
      <c r="B18" t="s">
        <v>140</v>
      </c>
      <c r="C18" s="2">
        <v>15</v>
      </c>
      <c r="E18" t="s">
        <v>141</v>
      </c>
    </row>
    <row r="20" spans="2:5" x14ac:dyDescent="0.2">
      <c r="B20" t="s">
        <v>147</v>
      </c>
      <c r="C20" s="2">
        <f>15/25</f>
        <v>0.6</v>
      </c>
    </row>
  </sheetData>
  <conditionalFormatting sqref="C8">
    <cfRule type="cellIs" dxfId="69" priority="1" operator="lessThan">
      <formula>20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EE82F-AC69-8A45-A6EE-6EACC2961C3D}">
  <dimension ref="B3:C16"/>
  <sheetViews>
    <sheetView workbookViewId="0">
      <selection activeCell="D36" sqref="D36"/>
    </sheetView>
  </sheetViews>
  <sheetFormatPr baseColWidth="10" defaultRowHeight="16" x14ac:dyDescent="0.2"/>
  <cols>
    <col min="2" max="2" width="28.33203125" style="1" bestFit="1" customWidth="1"/>
    <col min="3" max="3" width="6.6640625" style="2" bestFit="1" customWidth="1"/>
  </cols>
  <sheetData>
    <row r="3" spans="2:3" x14ac:dyDescent="0.2">
      <c r="B3" s="1" t="s">
        <v>80</v>
      </c>
      <c r="C3" s="2">
        <v>44</v>
      </c>
    </row>
    <row r="5" spans="2:3" x14ac:dyDescent="0.2">
      <c r="B5" s="1" t="s">
        <v>81</v>
      </c>
      <c r="C5" s="2">
        <v>540</v>
      </c>
    </row>
    <row r="6" spans="2:3" x14ac:dyDescent="0.2">
      <c r="B6" s="1" t="s">
        <v>82</v>
      </c>
      <c r="C6" s="2">
        <v>1205</v>
      </c>
    </row>
    <row r="7" spans="2:3" x14ac:dyDescent="0.2">
      <c r="B7" s="1" t="s">
        <v>83</v>
      </c>
      <c r="C7" s="2">
        <f>C5/60</f>
        <v>9</v>
      </c>
    </row>
    <row r="8" spans="2:3" x14ac:dyDescent="0.2">
      <c r="B8" s="1" t="s">
        <v>84</v>
      </c>
      <c r="C8" s="2">
        <f>C6/60</f>
        <v>20.083333333333332</v>
      </c>
    </row>
    <row r="10" spans="2:3" x14ac:dyDescent="0.2">
      <c r="B10" s="1" t="s">
        <v>85</v>
      </c>
      <c r="C10" s="2">
        <v>2</v>
      </c>
    </row>
    <row r="12" spans="2:3" x14ac:dyDescent="0.2">
      <c r="B12" s="1" t="s">
        <v>86</v>
      </c>
      <c r="C12" s="2">
        <v>7.8</v>
      </c>
    </row>
    <row r="13" spans="2:3" x14ac:dyDescent="0.2">
      <c r="B13" s="1" t="s">
        <v>87</v>
      </c>
      <c r="C13" s="2">
        <v>9</v>
      </c>
    </row>
    <row r="14" spans="2:3" x14ac:dyDescent="0.2">
      <c r="B14" s="1" t="s">
        <v>88</v>
      </c>
      <c r="C14" s="2">
        <v>3.5</v>
      </c>
    </row>
    <row r="15" spans="2:3" x14ac:dyDescent="0.2">
      <c r="B15" s="1" t="s">
        <v>89</v>
      </c>
      <c r="C15" s="2">
        <v>3.2</v>
      </c>
    </row>
    <row r="16" spans="2:3" x14ac:dyDescent="0.2">
      <c r="B16" s="1" t="s">
        <v>155</v>
      </c>
      <c r="C16" s="2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D6DB-699A-E143-9254-0DE2B5C13E63}">
  <dimension ref="B2:K30"/>
  <sheetViews>
    <sheetView workbookViewId="0">
      <selection activeCell="E45" sqref="E45"/>
    </sheetView>
  </sheetViews>
  <sheetFormatPr baseColWidth="10" defaultRowHeight="16" x14ac:dyDescent="0.2"/>
  <cols>
    <col min="2" max="2" width="15.6640625" bestFit="1" customWidth="1"/>
    <col min="3" max="3" width="19.83203125" bestFit="1" customWidth="1"/>
    <col min="4" max="4" width="32" bestFit="1" customWidth="1"/>
    <col min="5" max="5" width="29.83203125" bestFit="1" customWidth="1"/>
    <col min="6" max="6" width="26.83203125" bestFit="1" customWidth="1"/>
    <col min="7" max="7" width="25.5" bestFit="1" customWidth="1"/>
    <col min="8" max="8" width="31.33203125" bestFit="1" customWidth="1"/>
    <col min="9" max="9" width="11.83203125" bestFit="1" customWidth="1"/>
    <col min="10" max="10" width="10.6640625" bestFit="1" customWidth="1"/>
    <col min="11" max="11" width="13.5" bestFit="1" customWidth="1"/>
  </cols>
  <sheetData>
    <row r="2" spans="2:11" x14ac:dyDescent="0.2">
      <c r="B2" s="1" t="s">
        <v>90</v>
      </c>
      <c r="C2" s="1" t="s">
        <v>91</v>
      </c>
      <c r="D2" s="1" t="s">
        <v>92</v>
      </c>
      <c r="E2" s="1" t="s">
        <v>93</v>
      </c>
      <c r="F2" s="1" t="s">
        <v>94</v>
      </c>
      <c r="G2" s="1" t="s">
        <v>95</v>
      </c>
      <c r="H2" s="1" t="s">
        <v>96</v>
      </c>
      <c r="I2" s="1" t="s">
        <v>97</v>
      </c>
      <c r="J2" s="1" t="s">
        <v>98</v>
      </c>
      <c r="K2" s="1" t="s">
        <v>99</v>
      </c>
    </row>
    <row r="3" spans="2:11" x14ac:dyDescent="0.2">
      <c r="B3" t="s">
        <v>100</v>
      </c>
      <c r="C3">
        <v>3.5</v>
      </c>
      <c r="D3">
        <v>7</v>
      </c>
      <c r="E3">
        <v>100</v>
      </c>
      <c r="F3">
        <v>35</v>
      </c>
      <c r="G3">
        <v>3500</v>
      </c>
      <c r="H3">
        <v>8</v>
      </c>
      <c r="I3">
        <v>260</v>
      </c>
      <c r="J3" t="s">
        <v>101</v>
      </c>
      <c r="K3" s="4">
        <f>(G3/1000)*(SQRT(1/(H3/100)))</f>
        <v>12.374368670764582</v>
      </c>
    </row>
    <row r="4" spans="2:11" x14ac:dyDescent="0.2">
      <c r="K4" s="4"/>
    </row>
    <row r="5" spans="2:11" x14ac:dyDescent="0.2">
      <c r="K5" s="4"/>
    </row>
    <row r="6" spans="2:11" x14ac:dyDescent="0.2">
      <c r="K6" s="4"/>
    </row>
    <row r="7" spans="2:11" x14ac:dyDescent="0.2">
      <c r="K7" s="4"/>
    </row>
    <row r="8" spans="2:11" x14ac:dyDescent="0.2">
      <c r="K8" s="4"/>
    </row>
    <row r="9" spans="2:11" x14ac:dyDescent="0.2">
      <c r="K9" s="4"/>
    </row>
    <row r="10" spans="2:11" x14ac:dyDescent="0.2">
      <c r="K10" s="4"/>
    </row>
    <row r="27" spans="2:5" x14ac:dyDescent="0.2">
      <c r="B27" s="1" t="s">
        <v>103</v>
      </c>
      <c r="C27" s="1" t="s">
        <v>104</v>
      </c>
      <c r="D27" s="1" t="s">
        <v>105</v>
      </c>
      <c r="E27" s="1" t="s">
        <v>107</v>
      </c>
    </row>
    <row r="28" spans="2:5" x14ac:dyDescent="0.2">
      <c r="B28">
        <v>750</v>
      </c>
      <c r="C28" s="4">
        <f t="shared" ref="C28:C30" si="0">100*(($B28/1000)/$K$3)^2</f>
        <v>0.36734693877551017</v>
      </c>
      <c r="D28" s="4">
        <f>(($B28/1000)*1000*9.81*(C28/10)/(3600))/'Global Variables'!$C$8</f>
        <v>0.12512755102040818</v>
      </c>
      <c r="E28" s="2">
        <f>D28*'Global Variables'!$C$9/1000</f>
        <v>0.37538265306122454</v>
      </c>
    </row>
    <row r="29" spans="2:5" x14ac:dyDescent="0.2">
      <c r="B29">
        <v>1250</v>
      </c>
      <c r="C29" s="4">
        <f t="shared" si="0"/>
        <v>1.0204081632653061</v>
      </c>
      <c r="D29" s="4">
        <f>(($B29/1000)*1000*9.81*(C29/10)/(3600))/'Global Variables'!$C$8</f>
        <v>0.5792942176870749</v>
      </c>
      <c r="E29" s="2">
        <f>D29*'Global Variables'!$C$9/1000</f>
        <v>1.7378826530612248</v>
      </c>
    </row>
    <row r="30" spans="2:5" x14ac:dyDescent="0.2">
      <c r="B30">
        <v>1500</v>
      </c>
      <c r="C30" s="4">
        <f t="shared" si="0"/>
        <v>1.4693877551020407</v>
      </c>
      <c r="D30" s="4">
        <f>(($B30/1000)*1000*9.81*(C30/10)/(3600))/'Global Variables'!$C$8</f>
        <v>1.0010204081632654</v>
      </c>
      <c r="E30" s="2">
        <f>D30*'Global Variables'!$C$9/1000</f>
        <v>3.0030612244897963</v>
      </c>
    </row>
  </sheetData>
  <conditionalFormatting sqref="C28:C30">
    <cfRule type="cellIs" dxfId="68" priority="3" operator="greaterThan">
      <formula>25</formula>
    </cfRule>
    <cfRule type="cellIs" dxfId="67" priority="4" operator="greaterThan">
      <formula>5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E2E1A-470F-1F44-BD2F-337A2004D8D3}">
  <dimension ref="B1:Y65"/>
  <sheetViews>
    <sheetView workbookViewId="0">
      <selection activeCell="M21" sqref="M21"/>
    </sheetView>
  </sheetViews>
  <sheetFormatPr baseColWidth="10" defaultRowHeight="16" x14ac:dyDescent="0.2"/>
  <cols>
    <col min="1" max="1" width="3.5" customWidth="1"/>
    <col min="2" max="2" width="14.5" bestFit="1" customWidth="1"/>
    <col min="3" max="3" width="24.6640625" bestFit="1" customWidth="1"/>
    <col min="4" max="4" width="14.5" bestFit="1" customWidth="1"/>
    <col min="5" max="5" width="15" bestFit="1" customWidth="1"/>
    <col min="6" max="6" width="19.83203125" bestFit="1" customWidth="1"/>
    <col min="7" max="7" width="11" bestFit="1" customWidth="1"/>
    <col min="8" max="8" width="10.5" bestFit="1" customWidth="1"/>
    <col min="9" max="10" width="12.5" bestFit="1" customWidth="1"/>
    <col min="11" max="11" width="10.5" style="5" bestFit="1" customWidth="1"/>
    <col min="12" max="12" width="15.1640625" style="2" bestFit="1" customWidth="1"/>
    <col min="13" max="13" width="15.1640625" style="2" customWidth="1"/>
    <col min="14" max="14" width="18.33203125" style="2" bestFit="1" customWidth="1"/>
    <col min="15" max="15" width="17.5" bestFit="1" customWidth="1"/>
    <col min="16" max="16" width="14.1640625" bestFit="1" customWidth="1"/>
    <col min="17" max="17" width="14.83203125" bestFit="1" customWidth="1"/>
    <col min="18" max="18" width="17.5" bestFit="1" customWidth="1"/>
    <col min="19" max="19" width="14.1640625" bestFit="1" customWidth="1"/>
    <col min="20" max="20" width="14.83203125" bestFit="1" customWidth="1"/>
    <col min="21" max="21" width="9.5" bestFit="1" customWidth="1"/>
    <col min="22" max="23" width="17.6640625" bestFit="1" customWidth="1"/>
    <col min="24" max="24" width="15.1640625" bestFit="1" customWidth="1"/>
    <col min="25" max="25" width="26.83203125" bestFit="1" customWidth="1"/>
  </cols>
  <sheetData>
    <row r="1" spans="2:25" x14ac:dyDescent="0.2">
      <c r="O1" s="65" t="s">
        <v>78</v>
      </c>
      <c r="P1" s="66"/>
      <c r="Q1" s="66"/>
      <c r="R1" s="66"/>
      <c r="S1" s="66"/>
      <c r="T1" s="67"/>
    </row>
    <row r="2" spans="2:25" s="13" customFormat="1" ht="51" x14ac:dyDescent="0.2">
      <c r="B2" s="9" t="s">
        <v>36</v>
      </c>
      <c r="C2" s="9" t="s">
        <v>26</v>
      </c>
      <c r="D2" s="9" t="s">
        <v>27</v>
      </c>
      <c r="E2" s="9" t="s">
        <v>28</v>
      </c>
      <c r="F2" s="9" t="s">
        <v>34</v>
      </c>
      <c r="G2" s="9" t="s">
        <v>35</v>
      </c>
      <c r="H2" s="9" t="s">
        <v>49</v>
      </c>
      <c r="I2" s="9" t="s">
        <v>38</v>
      </c>
      <c r="J2" s="9" t="s">
        <v>39</v>
      </c>
      <c r="K2" s="10" t="s">
        <v>45</v>
      </c>
      <c r="L2" s="11" t="s">
        <v>46</v>
      </c>
      <c r="M2" s="11" t="s">
        <v>151</v>
      </c>
      <c r="N2" s="11" t="s">
        <v>51</v>
      </c>
      <c r="O2" s="12" t="s">
        <v>53</v>
      </c>
      <c r="P2" s="12" t="s">
        <v>55</v>
      </c>
      <c r="Q2" s="12" t="s">
        <v>58</v>
      </c>
      <c r="R2" s="12" t="s">
        <v>54</v>
      </c>
      <c r="S2" s="12" t="s">
        <v>56</v>
      </c>
      <c r="T2" s="12" t="s">
        <v>59</v>
      </c>
      <c r="U2" s="12" t="s">
        <v>76</v>
      </c>
      <c r="V2" s="12" t="s">
        <v>77</v>
      </c>
      <c r="W2" s="12" t="s">
        <v>79</v>
      </c>
      <c r="X2" s="12" t="s">
        <v>116</v>
      </c>
      <c r="Y2" s="12" t="s">
        <v>115</v>
      </c>
    </row>
    <row r="3" spans="2:25" s="31" customFormat="1" x14ac:dyDescent="0.2">
      <c r="B3" s="30" t="s">
        <v>29</v>
      </c>
      <c r="C3" s="31" t="s">
        <v>5</v>
      </c>
      <c r="D3" s="31" t="s">
        <v>18</v>
      </c>
      <c r="E3" s="31">
        <v>2748</v>
      </c>
      <c r="F3" s="31">
        <v>9.6999999999999993</v>
      </c>
      <c r="G3" s="31">
        <v>50.3</v>
      </c>
      <c r="I3" s="31">
        <v>45</v>
      </c>
      <c r="J3" s="31">
        <v>40</v>
      </c>
      <c r="K3" s="32">
        <f>E3*((I3-J3)/(LN((I3-'Global Variables'!$C$3)/(J3-'Global Variables'!$C$3)))*1/49.32)^'Global Variables'!$C$4</f>
        <v>962.29666541833865</v>
      </c>
      <c r="L3" s="33">
        <f>60*K3/(4200*(I3-J3))</f>
        <v>2.749419044052396</v>
      </c>
      <c r="M3" s="59">
        <f>L3*60/1000</f>
        <v>0.16496514264314377</v>
      </c>
      <c r="N3" s="33">
        <f>2000*SQRT(((K3/1000)/(1000*4.2*(I3-J3)*PI()*'Global Variables'!$C$7)))</f>
        <v>7.6383561188860734</v>
      </c>
      <c r="O3" s="31">
        <v>298</v>
      </c>
      <c r="P3" s="31">
        <v>4922</v>
      </c>
      <c r="Q3" s="31">
        <v>0.42599999999999999</v>
      </c>
      <c r="R3" s="31">
        <v>4393</v>
      </c>
      <c r="S3" s="31">
        <v>8651</v>
      </c>
      <c r="T3" s="31">
        <v>1.3149999999999999</v>
      </c>
      <c r="U3" s="31">
        <v>12</v>
      </c>
      <c r="V3" s="33">
        <f>2*U3*O3/1000</f>
        <v>7.1520000000000001</v>
      </c>
      <c r="W3" s="33">
        <f>2*U3*R3/1000</f>
        <v>105.432</v>
      </c>
      <c r="X3" s="34">
        <f>((L3*60/1000)*1000*9.81*(V3/10)/(3600))/'Global Variables'!$C$8</f>
        <v>0.53583977633345969</v>
      </c>
      <c r="Y3" s="33">
        <f>X3*'Global Variables'!$C$9/1000</f>
        <v>1.6075193290003791</v>
      </c>
    </row>
    <row r="4" spans="2:25" s="31" customFormat="1" x14ac:dyDescent="0.2">
      <c r="B4" s="30" t="s">
        <v>29</v>
      </c>
      <c r="C4" s="31" t="s">
        <v>6</v>
      </c>
      <c r="D4" s="31" t="s">
        <v>18</v>
      </c>
      <c r="E4" s="31">
        <v>3145</v>
      </c>
      <c r="F4" s="31">
        <v>9.6999999999999993</v>
      </c>
      <c r="G4" s="31">
        <v>50.3</v>
      </c>
      <c r="I4" s="31">
        <v>45</v>
      </c>
      <c r="J4" s="31">
        <v>40</v>
      </c>
      <c r="K4" s="32">
        <f>E4*((I4-J4)/(LN((I4-'Global Variables'!$C$3)/(J4-'Global Variables'!$C$3)))*1/49.32)^'Global Variables'!$C$4</f>
        <v>1101.3184180279022</v>
      </c>
      <c r="L4" s="33">
        <f t="shared" ref="L4:L11" si="0">60*K4/(4200*(I4-J4))</f>
        <v>3.1466240515082919</v>
      </c>
      <c r="M4" s="59">
        <f t="shared" ref="M4:M65" si="1">L4*60/1000</f>
        <v>0.18879744309049754</v>
      </c>
      <c r="N4" s="33">
        <f>2000*SQRT(((K4/1000)/(1000*4.2*(I4-J4)*PI()*'Global Variables'!$C$7)))</f>
        <v>8.1715014683095752</v>
      </c>
      <c r="O4" s="31">
        <v>378</v>
      </c>
      <c r="P4" s="31">
        <v>5651</v>
      </c>
      <c r="Q4" s="31">
        <v>0.48899999999999999</v>
      </c>
      <c r="R4" s="31">
        <v>5607</v>
      </c>
      <c r="S4" s="31">
        <v>9933</v>
      </c>
      <c r="T4" s="31">
        <v>1.51</v>
      </c>
      <c r="U4" s="31">
        <v>12</v>
      </c>
      <c r="V4" s="33">
        <f t="shared" ref="V4:V15" si="2">2*U4*O4/1000</f>
        <v>9.0719999999999992</v>
      </c>
      <c r="W4" s="33">
        <f t="shared" ref="W4:W15" si="3">2*U4*R4/1000</f>
        <v>134.56800000000001</v>
      </c>
      <c r="X4" s="34">
        <f>((L4*60/1000)*1000*9.81*(V4/10)/(3600))/'Global Variables'!$C$8</f>
        <v>0.77788322502146789</v>
      </c>
      <c r="Y4" s="33">
        <f>X4*'Global Variables'!$C$9/1000</f>
        <v>2.3336496750644038</v>
      </c>
    </row>
    <row r="5" spans="2:25" s="31" customFormat="1" x14ac:dyDescent="0.2">
      <c r="B5" s="30" t="s">
        <v>31</v>
      </c>
      <c r="C5" s="31" t="s">
        <v>7</v>
      </c>
      <c r="D5" s="31" t="s">
        <v>19</v>
      </c>
      <c r="E5" s="31">
        <v>2748</v>
      </c>
      <c r="F5" s="31">
        <v>11</v>
      </c>
      <c r="G5" s="31">
        <v>68</v>
      </c>
      <c r="I5" s="31">
        <v>45</v>
      </c>
      <c r="J5" s="31">
        <v>40</v>
      </c>
      <c r="K5" s="32">
        <f>E5*((I5-J5)/(LN((I5-'Global Variables'!$C$3)/(J5-'Global Variables'!$C$3)))*1/49.32)^'Global Variables'!$C$4</f>
        <v>962.29666541833865</v>
      </c>
      <c r="L5" s="33">
        <f t="shared" si="0"/>
        <v>2.749419044052396</v>
      </c>
      <c r="M5" s="59">
        <f t="shared" si="1"/>
        <v>0.16496514264314377</v>
      </c>
      <c r="N5" s="33">
        <f>2000*SQRT(((K5/1000)/(1000*4.2*(I5-J5)*PI()*'Global Variables'!$C$7)))</f>
        <v>7.6383561188860734</v>
      </c>
      <c r="O5" s="31">
        <v>298</v>
      </c>
      <c r="P5" s="31">
        <v>4922</v>
      </c>
      <c r="Q5" s="31">
        <v>0.42599999999999999</v>
      </c>
      <c r="R5" s="31">
        <v>4393</v>
      </c>
      <c r="S5" s="31">
        <v>8651</v>
      </c>
      <c r="T5" s="31">
        <v>1.3149999999999999</v>
      </c>
      <c r="U5" s="31">
        <v>10</v>
      </c>
      <c r="V5" s="33">
        <f t="shared" si="2"/>
        <v>5.96</v>
      </c>
      <c r="W5" s="33">
        <f t="shared" si="3"/>
        <v>87.86</v>
      </c>
      <c r="X5" s="34">
        <f>((L5*60/1000)*1000*9.81*(V5/10)/(3600))/'Global Variables'!$C$8</f>
        <v>0.44653314694454965</v>
      </c>
      <c r="Y5" s="33">
        <f>X5*'Global Variables'!$C$9/1000</f>
        <v>1.3395994408336489</v>
      </c>
    </row>
    <row r="6" spans="2:25" s="31" customFormat="1" x14ac:dyDescent="0.2">
      <c r="B6" s="30" t="s">
        <v>30</v>
      </c>
      <c r="C6" s="31" t="s">
        <v>8</v>
      </c>
      <c r="D6" s="35" t="s">
        <v>20</v>
      </c>
      <c r="E6" s="31">
        <v>3141</v>
      </c>
      <c r="F6" s="31">
        <v>11</v>
      </c>
      <c r="G6" s="31">
        <v>57.3</v>
      </c>
      <c r="I6" s="31">
        <v>45</v>
      </c>
      <c r="J6" s="31">
        <v>40</v>
      </c>
      <c r="K6" s="32">
        <f>E6*((I6-J6)/(LN((I6-'Global Variables'!$C$3)/(J6-'Global Variables'!$C$3)))*1/49.32)^'Global Variables'!$C$4</f>
        <v>1099.917695079695</v>
      </c>
      <c r="L6" s="33">
        <f t="shared" si="0"/>
        <v>3.1426219859419859</v>
      </c>
      <c r="M6" s="59">
        <f t="shared" si="1"/>
        <v>0.18855731915651916</v>
      </c>
      <c r="N6" s="33">
        <f>2000*SQRT(((K6/1000)/(1000*4.2*(I6-J6)*PI()*'Global Variables'!$C$7)))</f>
        <v>8.1663033116332056</v>
      </c>
      <c r="O6" s="31">
        <v>378</v>
      </c>
      <c r="P6" s="31">
        <v>5651</v>
      </c>
      <c r="Q6" s="31">
        <v>0.48899999999999999</v>
      </c>
      <c r="R6" s="31">
        <v>5607</v>
      </c>
      <c r="S6" s="31">
        <v>9933</v>
      </c>
      <c r="T6" s="31">
        <v>1.51</v>
      </c>
      <c r="U6" s="31">
        <v>6</v>
      </c>
      <c r="V6" s="33">
        <f t="shared" si="2"/>
        <v>4.5359999999999996</v>
      </c>
      <c r="W6" s="33">
        <f t="shared" si="3"/>
        <v>67.284000000000006</v>
      </c>
      <c r="X6" s="34">
        <f>((L6*60/1000)*1000*9.81*(V6/10)/(3600))/'Global Variables'!$C$8</f>
        <v>0.38844693319434509</v>
      </c>
      <c r="Y6" s="33">
        <f>X6*'Global Variables'!$C$9/1000</f>
        <v>1.1653407995830354</v>
      </c>
    </row>
    <row r="7" spans="2:25" s="31" customFormat="1" x14ac:dyDescent="0.2">
      <c r="B7" s="30" t="s">
        <v>29</v>
      </c>
      <c r="C7" s="31" t="s">
        <v>9</v>
      </c>
      <c r="D7" s="35" t="s">
        <v>18</v>
      </c>
      <c r="E7" s="31">
        <v>2748</v>
      </c>
      <c r="F7" s="31">
        <v>9.6999999999999993</v>
      </c>
      <c r="G7" s="31">
        <v>50.3</v>
      </c>
      <c r="I7" s="31">
        <v>45</v>
      </c>
      <c r="J7" s="31">
        <v>40</v>
      </c>
      <c r="K7" s="32">
        <f>E7*((I7-J7)/(LN((I7-'Global Variables'!$C$3)/(J7-'Global Variables'!$C$3)))*1/49.32)^'Global Variables'!$C$4</f>
        <v>962.29666541833865</v>
      </c>
      <c r="L7" s="33">
        <f t="shared" si="0"/>
        <v>2.749419044052396</v>
      </c>
      <c r="M7" s="59">
        <f t="shared" si="1"/>
        <v>0.16496514264314377</v>
      </c>
      <c r="N7" s="33">
        <f>2000*SQRT(((K7/1000)/(1000*4.2*(I7-J7)*PI()*'Global Variables'!$C$7)))</f>
        <v>7.6383561188860734</v>
      </c>
      <c r="O7" s="31">
        <v>298</v>
      </c>
      <c r="P7" s="31">
        <v>4922</v>
      </c>
      <c r="Q7" s="31">
        <v>0.42599999999999999</v>
      </c>
      <c r="R7" s="31">
        <v>4393</v>
      </c>
      <c r="S7" s="31">
        <v>8651</v>
      </c>
      <c r="T7" s="31">
        <v>1.3149999999999999</v>
      </c>
      <c r="U7" s="31">
        <v>15</v>
      </c>
      <c r="V7" s="33">
        <f t="shared" si="2"/>
        <v>8.94</v>
      </c>
      <c r="W7" s="33">
        <f t="shared" si="3"/>
        <v>131.79</v>
      </c>
      <c r="X7" s="34">
        <f>((L7*60/1000)*1000*9.81*(V7/10)/(3600))/'Global Variables'!$C$8</f>
        <v>0.66979972041682456</v>
      </c>
      <c r="Y7" s="33">
        <f>X7*'Global Variables'!$C$9/1000</f>
        <v>2.0093991612504736</v>
      </c>
    </row>
    <row r="8" spans="2:25" s="31" customFormat="1" x14ac:dyDescent="0.2">
      <c r="B8" s="30" t="s">
        <v>30</v>
      </c>
      <c r="C8" s="31" t="s">
        <v>10</v>
      </c>
      <c r="D8" s="35" t="s">
        <v>20</v>
      </c>
      <c r="E8" s="31">
        <v>3141</v>
      </c>
      <c r="F8" s="31">
        <v>11</v>
      </c>
      <c r="G8" s="31">
        <v>57.3</v>
      </c>
      <c r="I8" s="31">
        <v>45</v>
      </c>
      <c r="J8" s="31">
        <v>40</v>
      </c>
      <c r="K8" s="32">
        <f>E8*((I8-J8)/(LN((I8-'Global Variables'!$C$3)/(J8-'Global Variables'!$C$3)))*1/49.32)^'Global Variables'!$C$4</f>
        <v>1099.917695079695</v>
      </c>
      <c r="L8" s="33">
        <f t="shared" si="0"/>
        <v>3.1426219859419859</v>
      </c>
      <c r="M8" s="59">
        <f t="shared" si="1"/>
        <v>0.18855731915651916</v>
      </c>
      <c r="N8" s="33">
        <f>2000*SQRT(((K8/1000)/(1000*4.2*(I8-J8)*PI()*'Global Variables'!$C$7)))</f>
        <v>8.1663033116332056</v>
      </c>
      <c r="O8" s="31">
        <v>378</v>
      </c>
      <c r="P8" s="31">
        <v>5651</v>
      </c>
      <c r="Q8" s="31">
        <v>0.48899999999999999</v>
      </c>
      <c r="R8" s="31">
        <v>5607</v>
      </c>
      <c r="S8" s="31">
        <v>9933</v>
      </c>
      <c r="T8" s="31">
        <v>1.51</v>
      </c>
      <c r="U8" s="31">
        <v>15</v>
      </c>
      <c r="V8" s="33">
        <f t="shared" si="2"/>
        <v>11.34</v>
      </c>
      <c r="W8" s="33">
        <f t="shared" si="3"/>
        <v>168.21</v>
      </c>
      <c r="X8" s="34">
        <f>((L8*60/1000)*1000*9.81*(V8/10)/(3600))/'Global Variables'!$C$8</f>
        <v>0.97111733298586267</v>
      </c>
      <c r="Y8" s="33">
        <f>X8*'Global Variables'!$C$9/1000</f>
        <v>2.9133519989575878</v>
      </c>
    </row>
    <row r="9" spans="2:25" s="31" customFormat="1" x14ac:dyDescent="0.2">
      <c r="B9" s="30" t="s">
        <v>29</v>
      </c>
      <c r="C9" s="31" t="s">
        <v>11</v>
      </c>
      <c r="D9" s="35" t="s">
        <v>18</v>
      </c>
      <c r="E9" s="31">
        <v>2748</v>
      </c>
      <c r="F9" s="31">
        <v>9.6999999999999993</v>
      </c>
      <c r="G9" s="31">
        <v>50.3</v>
      </c>
      <c r="I9" s="31">
        <v>45</v>
      </c>
      <c r="J9" s="31">
        <v>40</v>
      </c>
      <c r="K9" s="32">
        <f>E9*((I9-J9)/(LN((I9-'Global Variables'!$C$3)/(J9-'Global Variables'!$C$3)))*1/49.32)^'Global Variables'!$C$4</f>
        <v>962.29666541833865</v>
      </c>
      <c r="L9" s="33">
        <f t="shared" si="0"/>
        <v>2.749419044052396</v>
      </c>
      <c r="M9" s="59">
        <f t="shared" si="1"/>
        <v>0.16496514264314377</v>
      </c>
      <c r="N9" s="33">
        <f>2000*SQRT(((K9/1000)/(1000*4.2*(I9-J9)*PI()*'Global Variables'!$C$7)))</f>
        <v>7.6383561188860734</v>
      </c>
      <c r="O9" s="31">
        <v>298</v>
      </c>
      <c r="P9" s="31">
        <v>4922</v>
      </c>
      <c r="Q9" s="31">
        <v>0.42599999999999999</v>
      </c>
      <c r="R9" s="31">
        <v>4393</v>
      </c>
      <c r="S9" s="31">
        <v>8651</v>
      </c>
      <c r="T9" s="31">
        <v>1.3149999999999999</v>
      </c>
      <c r="U9" s="31">
        <v>12</v>
      </c>
      <c r="V9" s="33">
        <f t="shared" si="2"/>
        <v>7.1520000000000001</v>
      </c>
      <c r="W9" s="33">
        <f t="shared" si="3"/>
        <v>105.432</v>
      </c>
      <c r="X9" s="34">
        <f>((L9*60/1000)*1000*9.81*(V9/10)/(3600))/'Global Variables'!$C$8</f>
        <v>0.53583977633345969</v>
      </c>
      <c r="Y9" s="33">
        <f>X9*'Global Variables'!$C$9/1000</f>
        <v>1.6075193290003791</v>
      </c>
    </row>
    <row r="10" spans="2:25" s="31" customFormat="1" x14ac:dyDescent="0.2">
      <c r="B10" s="30" t="s">
        <v>29</v>
      </c>
      <c r="C10" s="31" t="s">
        <v>12</v>
      </c>
      <c r="D10" s="35" t="s">
        <v>18</v>
      </c>
      <c r="E10" s="31">
        <v>2748</v>
      </c>
      <c r="F10" s="31">
        <v>9.6999999999999993</v>
      </c>
      <c r="G10" s="31">
        <v>50.3</v>
      </c>
      <c r="I10" s="31">
        <v>45</v>
      </c>
      <c r="J10" s="31">
        <v>40</v>
      </c>
      <c r="K10" s="32">
        <f>E10*((I10-J10)/(LN((I10-'Global Variables'!$C$3)/(J10-'Global Variables'!$C$3)))*1/49.32)^'Global Variables'!$C$4</f>
        <v>962.29666541833865</v>
      </c>
      <c r="L10" s="33">
        <f t="shared" si="0"/>
        <v>2.749419044052396</v>
      </c>
      <c r="M10" s="59">
        <f t="shared" si="1"/>
        <v>0.16496514264314377</v>
      </c>
      <c r="N10" s="33">
        <f>2000*SQRT(((K10/1000)/(1000*4.2*(I10-J10)*PI()*'Global Variables'!$C$7)))</f>
        <v>7.6383561188860734</v>
      </c>
      <c r="O10" s="31">
        <v>298</v>
      </c>
      <c r="P10" s="31">
        <v>4922</v>
      </c>
      <c r="Q10" s="31">
        <v>0.42599999999999999</v>
      </c>
      <c r="R10" s="31">
        <v>4393</v>
      </c>
      <c r="S10" s="31">
        <v>8651</v>
      </c>
      <c r="T10" s="31">
        <v>1.3149999999999999</v>
      </c>
      <c r="U10" s="31">
        <v>12</v>
      </c>
      <c r="V10" s="33">
        <f t="shared" si="2"/>
        <v>7.1520000000000001</v>
      </c>
      <c r="W10" s="33">
        <f t="shared" si="3"/>
        <v>105.432</v>
      </c>
      <c r="X10" s="34">
        <f>((L10*60/1000)*1000*9.81*(V10/10)/(3600))/'Global Variables'!$C$8</f>
        <v>0.53583977633345969</v>
      </c>
      <c r="Y10" s="33">
        <f>X10*'Global Variables'!$C$9/1000</f>
        <v>1.6075193290003791</v>
      </c>
    </row>
    <row r="11" spans="2:25" s="31" customFormat="1" x14ac:dyDescent="0.2">
      <c r="B11" s="30" t="s">
        <v>37</v>
      </c>
      <c r="C11" s="31" t="s">
        <v>13</v>
      </c>
      <c r="D11" s="35" t="s">
        <v>21</v>
      </c>
      <c r="E11" s="31">
        <v>1534</v>
      </c>
      <c r="F11" s="31">
        <v>5</v>
      </c>
      <c r="G11" s="31">
        <v>26.6</v>
      </c>
      <c r="I11" s="31">
        <v>45</v>
      </c>
      <c r="J11" s="31">
        <v>40</v>
      </c>
      <c r="K11" s="32">
        <f>E11*((I11-J11)/(LN((I11-'Global Variables'!$C$3)/(J11-'Global Variables'!$C$3)))*1/49.32)^'Global Variables'!$C$4</f>
        <v>537.17725063745695</v>
      </c>
      <c r="L11" s="33">
        <f t="shared" si="0"/>
        <v>1.5347921446784483</v>
      </c>
      <c r="M11" s="59">
        <f t="shared" si="1"/>
        <v>9.2087528680706895E-2</v>
      </c>
      <c r="N11" s="33">
        <f>2000*SQRT(((K11/1000)/(1000*4.2*(I11-J11)*PI()*'Global Variables'!$C$7)))</f>
        <v>5.7069519762500951</v>
      </c>
      <c r="O11" s="31">
        <v>109</v>
      </c>
      <c r="P11" s="31">
        <v>2734</v>
      </c>
      <c r="Q11" s="31">
        <v>0.23599999999999999</v>
      </c>
      <c r="R11" s="31">
        <v>1955</v>
      </c>
      <c r="S11" s="31">
        <v>5447</v>
      </c>
      <c r="T11" s="31">
        <v>0.82799999999999996</v>
      </c>
      <c r="U11" s="31">
        <v>20</v>
      </c>
      <c r="V11" s="33">
        <f t="shared" si="2"/>
        <v>4.3600000000000003</v>
      </c>
      <c r="W11" s="33">
        <f t="shared" si="3"/>
        <v>78.2</v>
      </c>
      <c r="X11" s="34">
        <f>((L11*60/1000)*1000*9.81*(V11/10)/(3600))/'Global Variables'!$C$8</f>
        <v>0.18234865470924649</v>
      </c>
      <c r="Y11" s="33">
        <f>X11*'Global Variables'!$C$9/1000</f>
        <v>0.54704596412773943</v>
      </c>
    </row>
    <row r="12" spans="2:25" s="31" customFormat="1" x14ac:dyDescent="0.2">
      <c r="B12" s="30" t="s">
        <v>32</v>
      </c>
      <c r="C12" s="31" t="s">
        <v>14</v>
      </c>
      <c r="D12" s="35" t="s">
        <v>22</v>
      </c>
      <c r="E12" s="31">
        <v>738</v>
      </c>
      <c r="F12" s="31">
        <v>6.7</v>
      </c>
      <c r="G12" s="31">
        <v>9</v>
      </c>
      <c r="I12" s="31">
        <v>45</v>
      </c>
      <c r="J12" s="31">
        <v>40</v>
      </c>
      <c r="K12" s="32">
        <f>E12*((I12-J12)/(LN((I12-'Global Variables'!$C$3)/(J12-'Global Variables'!$C$3)))*1/49.32)^'Global Variables'!$C$4</f>
        <v>258.43338394422631</v>
      </c>
      <c r="L12" s="33">
        <f>60*K12/(4200*(I12-J12))</f>
        <v>0.73838109698350374</v>
      </c>
      <c r="M12" s="59">
        <f t="shared" si="1"/>
        <v>4.4302865819010225E-2</v>
      </c>
      <c r="N12" s="33">
        <f>2000*SQRT(((K12/1000)/(1000*4.2*(I12-J12)*PI()*'Global Variables'!$C$7)))</f>
        <v>3.9584003750764576</v>
      </c>
      <c r="O12" s="31">
        <v>26</v>
      </c>
      <c r="P12" s="31">
        <v>1276</v>
      </c>
      <c r="Q12" s="31">
        <v>0.11</v>
      </c>
      <c r="R12" s="31">
        <v>250</v>
      </c>
      <c r="S12" s="31">
        <v>2243</v>
      </c>
      <c r="T12" s="31">
        <v>0.34100000000000003</v>
      </c>
      <c r="U12" s="31">
        <v>3</v>
      </c>
      <c r="V12" s="33">
        <f t="shared" si="2"/>
        <v>0.156</v>
      </c>
      <c r="W12" s="33">
        <f t="shared" si="3"/>
        <v>1.5</v>
      </c>
      <c r="X12" s="34">
        <f>((L12*60/1000)*1000*9.81*(V12/10)/(3600))/'Global Variables'!$C$8</f>
        <v>3.1388580432768743E-3</v>
      </c>
      <c r="Y12" s="33">
        <f>X12*'Global Variables'!$C$9/1000</f>
        <v>9.4165741298306242E-3</v>
      </c>
    </row>
    <row r="13" spans="2:25" s="31" customFormat="1" x14ac:dyDescent="0.2">
      <c r="C13" s="31" t="s">
        <v>15</v>
      </c>
      <c r="D13" s="35" t="s">
        <v>24</v>
      </c>
      <c r="H13" s="31">
        <v>2.5</v>
      </c>
      <c r="I13" s="31">
        <v>45</v>
      </c>
      <c r="J13" s="31">
        <v>22</v>
      </c>
      <c r="K13" s="32">
        <f>'Global Variables'!$C$5*H13</f>
        <v>125</v>
      </c>
      <c r="L13" s="33">
        <f>60*K13/(4200*(I13-J13))</f>
        <v>7.7639751552795025E-2</v>
      </c>
      <c r="M13" s="59">
        <f t="shared" si="1"/>
        <v>4.6583850931677011E-3</v>
      </c>
      <c r="N13" s="33">
        <f>2000*SQRT(((K13/1000)/(1000*4.2*(I13-J13)*PI()*'Global Variables'!$C$7)))</f>
        <v>1.2835757471508507</v>
      </c>
      <c r="O13" s="31">
        <v>4</v>
      </c>
      <c r="P13" s="31">
        <v>182</v>
      </c>
      <c r="Q13" s="31">
        <v>1.6E-2</v>
      </c>
      <c r="R13" s="31">
        <v>35</v>
      </c>
      <c r="S13" s="31">
        <v>320</v>
      </c>
      <c r="T13" s="31">
        <v>4.9000000000000002E-2</v>
      </c>
      <c r="U13" s="31">
        <v>30</v>
      </c>
      <c r="V13" s="33">
        <f t="shared" si="2"/>
        <v>0.24</v>
      </c>
      <c r="W13" s="33">
        <f t="shared" si="3"/>
        <v>2.1</v>
      </c>
      <c r="X13" s="34">
        <f>((L13*60/1000)*1000*9.81*(W13/10)/(3600))/'Global Variables'!$C$8</f>
        <v>4.4429347826086957E-3</v>
      </c>
      <c r="Y13" s="33">
        <f>X13*'Global Variables'!$C$9/1000</f>
        <v>1.3328804347826087E-2</v>
      </c>
    </row>
    <row r="14" spans="2:25" s="31" customFormat="1" x14ac:dyDescent="0.2">
      <c r="B14" s="30" t="s">
        <v>33</v>
      </c>
      <c r="C14" s="31" t="s">
        <v>16</v>
      </c>
      <c r="D14" s="35" t="s">
        <v>23</v>
      </c>
      <c r="E14" s="31">
        <v>1100</v>
      </c>
      <c r="F14" s="31">
        <v>10.199999999999999</v>
      </c>
      <c r="G14" s="31">
        <v>27</v>
      </c>
      <c r="I14" s="31">
        <v>45</v>
      </c>
      <c r="J14" s="31">
        <v>40</v>
      </c>
      <c r="K14" s="32">
        <f>E14*((I14-J14)/(LN((I14-'Global Variables'!$C$3)/(J14-'Global Variables'!$C$3)))*1/49.32)^'Global Variables'!$C$4</f>
        <v>385.19881075697691</v>
      </c>
      <c r="L14" s="33">
        <f>60*K14/(4200*(I14-J14))</f>
        <v>1.1005680307342198</v>
      </c>
      <c r="M14" s="59">
        <f t="shared" si="1"/>
        <v>6.6034081844053197E-2</v>
      </c>
      <c r="N14" s="33">
        <f>2000*SQRT(((K14/1000)/(1000*4.2*(I14-J14)*PI()*'Global Variables'!$C$7)))</f>
        <v>4.8326782402068256</v>
      </c>
      <c r="O14" s="31">
        <v>41</v>
      </c>
      <c r="P14" s="31">
        <v>2005</v>
      </c>
      <c r="Q14" s="31">
        <v>0.17299999999999999</v>
      </c>
      <c r="R14" s="31">
        <v>921</v>
      </c>
      <c r="S14" s="31">
        <v>3524</v>
      </c>
      <c r="T14" s="31">
        <v>0.53600000000000003</v>
      </c>
      <c r="U14" s="31">
        <v>3</v>
      </c>
      <c r="V14" s="33">
        <f t="shared" si="2"/>
        <v>0.246</v>
      </c>
      <c r="W14" s="33">
        <f t="shared" si="3"/>
        <v>5.5259999999999998</v>
      </c>
      <c r="X14" s="34">
        <f>((L14*60/1000)*1000*9.81*(V14/10)/(3600))/'Global Variables'!$C$8</f>
        <v>7.3776577940268435E-3</v>
      </c>
      <c r="Y14" s="33">
        <f>X14*'Global Variables'!$C$9/1000</f>
        <v>2.2132973382080531E-2</v>
      </c>
    </row>
    <row r="15" spans="2:25" s="31" customFormat="1" x14ac:dyDescent="0.2">
      <c r="C15" s="31" t="s">
        <v>17</v>
      </c>
      <c r="D15" s="35" t="s">
        <v>25</v>
      </c>
      <c r="H15" s="31">
        <v>4</v>
      </c>
      <c r="I15" s="31">
        <v>45</v>
      </c>
      <c r="J15" s="31">
        <v>22</v>
      </c>
      <c r="K15" s="32">
        <f>'Global Variables'!$C$5*H15</f>
        <v>200</v>
      </c>
      <c r="L15" s="33">
        <f>60*K15/(4200*(I15-J15))</f>
        <v>0.12422360248447205</v>
      </c>
      <c r="M15" s="59">
        <f t="shared" si="1"/>
        <v>7.4534161490683228E-3</v>
      </c>
      <c r="N15" s="33">
        <f>2000*SQRT(((K15/1000)/(1000*4.2*(I15-J15)*PI()*'Global Variables'!$C$7)))</f>
        <v>1.6236091641396289</v>
      </c>
      <c r="O15" s="31">
        <v>4</v>
      </c>
      <c r="P15" s="31">
        <v>182</v>
      </c>
      <c r="Q15" s="31">
        <v>1.6E-2</v>
      </c>
      <c r="R15" s="31">
        <v>35</v>
      </c>
      <c r="S15" s="31">
        <v>320</v>
      </c>
      <c r="T15" s="31">
        <v>4.9000000000000002E-2</v>
      </c>
      <c r="U15" s="31">
        <v>30</v>
      </c>
      <c r="V15" s="33">
        <f t="shared" si="2"/>
        <v>0.24</v>
      </c>
      <c r="W15" s="33">
        <f t="shared" si="3"/>
        <v>2.1</v>
      </c>
      <c r="X15" s="34">
        <f>((L15*60/1000)*1000*9.81*(W15/10)/(3600))/'Global Variables'!$C$8</f>
        <v>7.1086956521739138E-3</v>
      </c>
      <c r="Y15" s="33">
        <f>X15*'Global Variables'!$C$9/1000</f>
        <v>2.1326086956521741E-2</v>
      </c>
    </row>
    <row r="16" spans="2:25" s="31" customFormat="1" x14ac:dyDescent="0.2">
      <c r="K16" s="32"/>
      <c r="L16" s="33"/>
      <c r="M16" s="59"/>
      <c r="N16" s="33"/>
    </row>
    <row r="17" spans="2:25" s="31" customFormat="1" x14ac:dyDescent="0.2">
      <c r="C17" s="36" t="s">
        <v>47</v>
      </c>
      <c r="E17" s="37">
        <f>SUM(E3:E15)</f>
        <v>26539</v>
      </c>
      <c r="F17" s="32">
        <f t="shared" ref="F17:L17" si="4">SUM(F3:F15)</f>
        <v>103.4</v>
      </c>
      <c r="G17" s="32">
        <f t="shared" si="4"/>
        <v>496.70000000000005</v>
      </c>
      <c r="H17" s="31">
        <f t="shared" si="4"/>
        <v>6.5</v>
      </c>
      <c r="K17" s="32">
        <f t="shared" si="4"/>
        <v>9618.4465806176449</v>
      </c>
      <c r="L17" s="33">
        <f t="shared" si="4"/>
        <v>26.75456787008768</v>
      </c>
      <c r="M17" s="59">
        <f t="shared" si="1"/>
        <v>1.6052740722052607</v>
      </c>
      <c r="N17" s="33"/>
      <c r="X17" s="33">
        <f t="shared" ref="X17" si="5">SUM(X3:X15)</f>
        <v>5.065716488544763</v>
      </c>
      <c r="Y17" s="33">
        <f t="shared" ref="Y17" si="6">SUM(Y3:Y15)</f>
        <v>15.197149465634283</v>
      </c>
    </row>
    <row r="18" spans="2:25" x14ac:dyDescent="0.2">
      <c r="M18" s="60"/>
    </row>
    <row r="19" spans="2:25" s="23" customFormat="1" x14ac:dyDescent="0.2">
      <c r="B19" s="22" t="s">
        <v>29</v>
      </c>
      <c r="C19" s="23" t="s">
        <v>5</v>
      </c>
      <c r="D19" s="23" t="s">
        <v>18</v>
      </c>
      <c r="E19" s="23">
        <v>2748</v>
      </c>
      <c r="F19" s="23">
        <v>9.6999999999999993</v>
      </c>
      <c r="G19" s="23">
        <v>50.3</v>
      </c>
      <c r="I19" s="23">
        <v>35</v>
      </c>
      <c r="J19" s="23">
        <v>30</v>
      </c>
      <c r="K19" s="24">
        <f>E19*((I19-J19)/(LN((I19-'Global Variables'!$C$3)/(J19-'Global Variables'!$C$3)))*1/49.32)^'Global Variables'!$C$4</f>
        <v>434.85855219848173</v>
      </c>
      <c r="L19" s="25">
        <f>60*K19/(4200*(I19-J19))</f>
        <v>1.2424530062813763</v>
      </c>
      <c r="M19" s="61">
        <f t="shared" si="1"/>
        <v>7.4547180376882585E-2</v>
      </c>
      <c r="N19" s="25">
        <f>2000*SQRT(((K19/1000)/(1000*4.2*(I19-J19)*PI()*'Global Variables'!$C$7)))</f>
        <v>5.1347513735209782</v>
      </c>
      <c r="O19" s="23">
        <v>298</v>
      </c>
      <c r="P19" s="23">
        <v>4922</v>
      </c>
      <c r="Q19" s="23">
        <v>0.42599999999999999</v>
      </c>
      <c r="R19" s="23">
        <v>4393</v>
      </c>
      <c r="S19" s="23">
        <v>8651</v>
      </c>
      <c r="T19" s="23">
        <v>1.3149999999999999</v>
      </c>
      <c r="U19" s="23">
        <v>12</v>
      </c>
      <c r="V19" s="25">
        <f>2*U19*O19/1000</f>
        <v>7.1520000000000001</v>
      </c>
      <c r="W19" s="25">
        <f>2*U19*R19/1000</f>
        <v>105.432</v>
      </c>
      <c r="X19" s="26">
        <f>((L19*60/1000)*1000*9.81*(V19/10)/(3600))/'Global Variables'!$C$8</f>
        <v>0.2421441513001901</v>
      </c>
      <c r="Y19" s="25">
        <f>X19*'Global Variables'!$C$9/1000</f>
        <v>0.72643245390057032</v>
      </c>
    </row>
    <row r="20" spans="2:25" s="23" customFormat="1" x14ac:dyDescent="0.2">
      <c r="B20" s="22" t="s">
        <v>29</v>
      </c>
      <c r="C20" s="23" t="s">
        <v>6</v>
      </c>
      <c r="D20" s="23" t="s">
        <v>18</v>
      </c>
      <c r="E20" s="23">
        <v>3145</v>
      </c>
      <c r="F20" s="23">
        <v>9.6999999999999993</v>
      </c>
      <c r="G20" s="23">
        <v>50.3</v>
      </c>
      <c r="I20" s="23">
        <v>35</v>
      </c>
      <c r="J20" s="23">
        <v>30</v>
      </c>
      <c r="K20" s="24">
        <f>E20*((I20-J20)/(LN((I20-'Global Variables'!$C$3)/(J20-'Global Variables'!$C$3)))*1/49.32)^'Global Variables'!$C$4</f>
        <v>497.68200388072233</v>
      </c>
      <c r="L20" s="25">
        <f t="shared" ref="L20:L27" si="7">60*K20/(4200*(I20-J20))</f>
        <v>1.4219485825163494</v>
      </c>
      <c r="M20" s="61">
        <f t="shared" si="1"/>
        <v>8.5316914950980954E-2</v>
      </c>
      <c r="N20" s="25">
        <f>2000*SQRT(((K20/1000)/(1000*4.2*(I20-J20)*PI()*'Global Variables'!$C$7)))</f>
        <v>5.4931490146665523</v>
      </c>
      <c r="O20" s="23">
        <v>378</v>
      </c>
      <c r="P20" s="23">
        <v>5651</v>
      </c>
      <c r="Q20" s="23">
        <v>0.48899999999999999</v>
      </c>
      <c r="R20" s="23">
        <v>5607</v>
      </c>
      <c r="S20" s="23">
        <v>9933</v>
      </c>
      <c r="T20" s="23">
        <v>1.51</v>
      </c>
      <c r="U20" s="23">
        <v>12</v>
      </c>
      <c r="V20" s="25">
        <f t="shared" ref="V20:V31" si="8">2*U20*O20/1000</f>
        <v>9.0719999999999992</v>
      </c>
      <c r="W20" s="25">
        <f t="shared" ref="W20:W31" si="9">2*U20*R20/1000</f>
        <v>134.56800000000001</v>
      </c>
      <c r="X20" s="26">
        <f>((L20*60/1000)*1000*9.81*(V20/10)/(3600))/'Global Variables'!$C$8</f>
        <v>0.35152275298103175</v>
      </c>
      <c r="Y20" s="25">
        <f>X20*'Global Variables'!$C$9/1000</f>
        <v>1.0545682589430954</v>
      </c>
    </row>
    <row r="21" spans="2:25" s="23" customFormat="1" x14ac:dyDescent="0.2">
      <c r="B21" s="22" t="s">
        <v>31</v>
      </c>
      <c r="C21" s="23" t="s">
        <v>7</v>
      </c>
      <c r="D21" s="23" t="s">
        <v>19</v>
      </c>
      <c r="E21" s="23">
        <v>2748</v>
      </c>
      <c r="F21" s="23">
        <v>11</v>
      </c>
      <c r="G21" s="23">
        <v>68</v>
      </c>
      <c r="I21" s="23">
        <v>35</v>
      </c>
      <c r="J21" s="23">
        <v>30</v>
      </c>
      <c r="K21" s="24">
        <f>E21*((I21-J21)/(LN((I21-'Global Variables'!$C$3)/(J21-'Global Variables'!$C$3)))*1/49.32)^'Global Variables'!$C$4</f>
        <v>434.85855219848173</v>
      </c>
      <c r="L21" s="25">
        <f t="shared" si="7"/>
        <v>1.2424530062813763</v>
      </c>
      <c r="M21" s="61">
        <f t="shared" si="1"/>
        <v>7.4547180376882585E-2</v>
      </c>
      <c r="N21" s="25">
        <f>2000*SQRT(((K21/1000)/(1000*4.2*(I21-J21)*PI()*'Global Variables'!$C$7)))</f>
        <v>5.1347513735209782</v>
      </c>
      <c r="O21" s="23">
        <v>298</v>
      </c>
      <c r="P21" s="23">
        <v>4922</v>
      </c>
      <c r="Q21" s="23">
        <v>0.42599999999999999</v>
      </c>
      <c r="R21" s="23">
        <v>4393</v>
      </c>
      <c r="S21" s="23">
        <v>8651</v>
      </c>
      <c r="T21" s="23">
        <v>1.3149999999999999</v>
      </c>
      <c r="U21" s="23">
        <v>10</v>
      </c>
      <c r="V21" s="25">
        <f t="shared" si="8"/>
        <v>5.96</v>
      </c>
      <c r="W21" s="25">
        <f t="shared" si="9"/>
        <v>87.86</v>
      </c>
      <c r="X21" s="26">
        <f>((L21*60/1000)*1000*9.81*(V21/10)/(3600))/'Global Variables'!$C$8</f>
        <v>0.20178679275015837</v>
      </c>
      <c r="Y21" s="25">
        <f>X21*'Global Variables'!$C$9/1000</f>
        <v>0.60536037825047517</v>
      </c>
    </row>
    <row r="22" spans="2:25" s="23" customFormat="1" x14ac:dyDescent="0.2">
      <c r="B22" s="22" t="s">
        <v>30</v>
      </c>
      <c r="C22" s="23" t="s">
        <v>8</v>
      </c>
      <c r="D22" s="27" t="s">
        <v>20</v>
      </c>
      <c r="E22" s="23">
        <v>3141</v>
      </c>
      <c r="F22" s="23">
        <v>11</v>
      </c>
      <c r="G22" s="23">
        <v>57.3</v>
      </c>
      <c r="I22" s="23">
        <v>35</v>
      </c>
      <c r="J22" s="23">
        <v>30</v>
      </c>
      <c r="K22" s="24">
        <f>E22*((I22-J22)/(LN((I22-'Global Variables'!$C$3)/(J22-'Global Variables'!$C$3)))*1/49.32)^'Global Variables'!$C$4</f>
        <v>497.04902199979296</v>
      </c>
      <c r="L22" s="25">
        <f t="shared" si="7"/>
        <v>1.4201400628565513</v>
      </c>
      <c r="M22" s="61">
        <f t="shared" si="1"/>
        <v>8.5208403771393076E-2</v>
      </c>
      <c r="N22" s="25">
        <f>2000*SQRT(((K22/1000)/(1000*4.2*(I22-J22)*PI()*'Global Variables'!$C$7)))</f>
        <v>5.4896546447107228</v>
      </c>
      <c r="O22" s="23">
        <v>378</v>
      </c>
      <c r="P22" s="23">
        <v>5651</v>
      </c>
      <c r="Q22" s="23">
        <v>0.48899999999999999</v>
      </c>
      <c r="R22" s="23">
        <v>5607</v>
      </c>
      <c r="S22" s="23">
        <v>9933</v>
      </c>
      <c r="T22" s="23">
        <v>1.51</v>
      </c>
      <c r="U22" s="23">
        <v>6</v>
      </c>
      <c r="V22" s="25">
        <f t="shared" si="8"/>
        <v>4.5359999999999996</v>
      </c>
      <c r="W22" s="25">
        <f t="shared" si="9"/>
        <v>67.284000000000006</v>
      </c>
      <c r="X22" s="26">
        <f>((L22*60/1000)*1000*9.81*(V22/10)/(3600))/'Global Variables'!$C$8</f>
        <v>0.17553783260944686</v>
      </c>
      <c r="Y22" s="25">
        <f>X22*'Global Variables'!$C$9/1000</f>
        <v>0.52661349782834055</v>
      </c>
    </row>
    <row r="23" spans="2:25" s="23" customFormat="1" x14ac:dyDescent="0.2">
      <c r="B23" s="22" t="s">
        <v>29</v>
      </c>
      <c r="C23" s="23" t="s">
        <v>9</v>
      </c>
      <c r="D23" s="27" t="s">
        <v>18</v>
      </c>
      <c r="E23" s="23">
        <v>2748</v>
      </c>
      <c r="F23" s="23">
        <v>9.6999999999999993</v>
      </c>
      <c r="G23" s="23">
        <v>50.3</v>
      </c>
      <c r="I23" s="23">
        <v>35</v>
      </c>
      <c r="J23" s="23">
        <v>30</v>
      </c>
      <c r="K23" s="24">
        <f>E23*((I23-J23)/(LN((I23-'Global Variables'!$C$3)/(J23-'Global Variables'!$C$3)))*1/49.32)^'Global Variables'!$C$4</f>
        <v>434.85855219848173</v>
      </c>
      <c r="L23" s="25">
        <f t="shared" si="7"/>
        <v>1.2424530062813763</v>
      </c>
      <c r="M23" s="61">
        <f t="shared" si="1"/>
        <v>7.4547180376882585E-2</v>
      </c>
      <c r="N23" s="25">
        <f>2000*SQRT(((K23/1000)/(1000*4.2*(I23-J23)*PI()*'Global Variables'!$C$7)))</f>
        <v>5.1347513735209782</v>
      </c>
      <c r="O23" s="23">
        <v>298</v>
      </c>
      <c r="P23" s="23">
        <v>4922</v>
      </c>
      <c r="Q23" s="23">
        <v>0.42599999999999999</v>
      </c>
      <c r="R23" s="23">
        <v>4393</v>
      </c>
      <c r="S23" s="23">
        <v>8651</v>
      </c>
      <c r="T23" s="23">
        <v>1.3149999999999999</v>
      </c>
      <c r="U23" s="23">
        <v>15</v>
      </c>
      <c r="V23" s="25">
        <f t="shared" si="8"/>
        <v>8.94</v>
      </c>
      <c r="W23" s="25">
        <f t="shared" si="9"/>
        <v>131.79</v>
      </c>
      <c r="X23" s="26">
        <f>((L23*60/1000)*1000*9.81*(V23/10)/(3600))/'Global Variables'!$C$8</f>
        <v>0.30268018912523753</v>
      </c>
      <c r="Y23" s="25">
        <f>X23*'Global Variables'!$C$9/1000</f>
        <v>0.90804056737571259</v>
      </c>
    </row>
    <row r="24" spans="2:25" s="23" customFormat="1" x14ac:dyDescent="0.2">
      <c r="B24" s="22" t="s">
        <v>30</v>
      </c>
      <c r="C24" s="23" t="s">
        <v>10</v>
      </c>
      <c r="D24" s="27" t="s">
        <v>20</v>
      </c>
      <c r="E24" s="23">
        <v>3141</v>
      </c>
      <c r="F24" s="23">
        <v>11</v>
      </c>
      <c r="G24" s="23">
        <v>57.3</v>
      </c>
      <c r="I24" s="23">
        <v>35</v>
      </c>
      <c r="J24" s="23">
        <v>30</v>
      </c>
      <c r="K24" s="24">
        <f>E24*((I24-J24)/(LN((I24-'Global Variables'!$C$3)/(J24-'Global Variables'!$C$3)))*1/49.32)^'Global Variables'!$C$4</f>
        <v>497.04902199979296</v>
      </c>
      <c r="L24" s="25">
        <f t="shared" si="7"/>
        <v>1.4201400628565513</v>
      </c>
      <c r="M24" s="61">
        <f t="shared" si="1"/>
        <v>8.5208403771393076E-2</v>
      </c>
      <c r="N24" s="25">
        <f>2000*SQRT(((K24/1000)/(1000*4.2*(I24-J24)*PI()*'Global Variables'!$C$7)))</f>
        <v>5.4896546447107228</v>
      </c>
      <c r="O24" s="23">
        <v>378</v>
      </c>
      <c r="P24" s="23">
        <v>5651</v>
      </c>
      <c r="Q24" s="23">
        <v>0.48899999999999999</v>
      </c>
      <c r="R24" s="23">
        <v>5607</v>
      </c>
      <c r="S24" s="23">
        <v>9933</v>
      </c>
      <c r="T24" s="23">
        <v>1.51</v>
      </c>
      <c r="U24" s="23">
        <v>15</v>
      </c>
      <c r="V24" s="25">
        <f t="shared" si="8"/>
        <v>11.34</v>
      </c>
      <c r="W24" s="25">
        <f t="shared" si="9"/>
        <v>168.21</v>
      </c>
      <c r="X24" s="26">
        <f>((L24*60/1000)*1000*9.81*(V24/10)/(3600))/'Global Variables'!$C$8</f>
        <v>0.43884458152361716</v>
      </c>
      <c r="Y24" s="25">
        <f>X24*'Global Variables'!$C$9/1000</f>
        <v>1.3165337445708514</v>
      </c>
    </row>
    <row r="25" spans="2:25" s="23" customFormat="1" x14ac:dyDescent="0.2">
      <c r="B25" s="22" t="s">
        <v>29</v>
      </c>
      <c r="C25" s="23" t="s">
        <v>11</v>
      </c>
      <c r="D25" s="27" t="s">
        <v>18</v>
      </c>
      <c r="E25" s="23">
        <v>2748</v>
      </c>
      <c r="F25" s="23">
        <v>9.6999999999999993</v>
      </c>
      <c r="G25" s="23">
        <v>50.3</v>
      </c>
      <c r="I25" s="23">
        <v>35</v>
      </c>
      <c r="J25" s="23">
        <v>30</v>
      </c>
      <c r="K25" s="24">
        <f>E25*((I25-J25)/(LN((I25-'Global Variables'!$C$3)/(J25-'Global Variables'!$C$3)))*1/49.32)^'Global Variables'!$C$4</f>
        <v>434.85855219848173</v>
      </c>
      <c r="L25" s="25">
        <f t="shared" si="7"/>
        <v>1.2424530062813763</v>
      </c>
      <c r="M25" s="61">
        <f t="shared" si="1"/>
        <v>7.4547180376882585E-2</v>
      </c>
      <c r="N25" s="25">
        <f>2000*SQRT(((K25/1000)/(1000*4.2*(I25-J25)*PI()*'Global Variables'!$C$7)))</f>
        <v>5.1347513735209782</v>
      </c>
      <c r="O25" s="23">
        <v>298</v>
      </c>
      <c r="P25" s="23">
        <v>4922</v>
      </c>
      <c r="Q25" s="23">
        <v>0.42599999999999999</v>
      </c>
      <c r="R25" s="23">
        <v>4393</v>
      </c>
      <c r="S25" s="23">
        <v>8651</v>
      </c>
      <c r="T25" s="23">
        <v>1.3149999999999999</v>
      </c>
      <c r="U25" s="23">
        <v>12</v>
      </c>
      <c r="V25" s="25">
        <f t="shared" si="8"/>
        <v>7.1520000000000001</v>
      </c>
      <c r="W25" s="25">
        <f t="shared" si="9"/>
        <v>105.432</v>
      </c>
      <c r="X25" s="26">
        <f>((L25*60/1000)*1000*9.81*(V25/10)/(3600))/'Global Variables'!$C$8</f>
        <v>0.2421441513001901</v>
      </c>
      <c r="Y25" s="25">
        <f>X25*'Global Variables'!$C$9/1000</f>
        <v>0.72643245390057032</v>
      </c>
    </row>
    <row r="26" spans="2:25" s="23" customFormat="1" x14ac:dyDescent="0.2">
      <c r="B26" s="22" t="s">
        <v>29</v>
      </c>
      <c r="C26" s="23" t="s">
        <v>12</v>
      </c>
      <c r="D26" s="27" t="s">
        <v>18</v>
      </c>
      <c r="E26" s="23">
        <v>2748</v>
      </c>
      <c r="F26" s="23">
        <v>9.6999999999999993</v>
      </c>
      <c r="G26" s="23">
        <v>50.3</v>
      </c>
      <c r="I26" s="23">
        <v>35</v>
      </c>
      <c r="J26" s="23">
        <v>30</v>
      </c>
      <c r="K26" s="24">
        <f>E26*((I26-J26)/(LN((I26-'Global Variables'!$C$3)/(J26-'Global Variables'!$C$3)))*1/49.32)^'Global Variables'!$C$4</f>
        <v>434.85855219848173</v>
      </c>
      <c r="L26" s="25">
        <f t="shared" si="7"/>
        <v>1.2424530062813763</v>
      </c>
      <c r="M26" s="61">
        <f t="shared" si="1"/>
        <v>7.4547180376882585E-2</v>
      </c>
      <c r="N26" s="25">
        <f>2000*SQRT(((K26/1000)/(1000*4.2*(I26-J26)*PI()*'Global Variables'!$C$7)))</f>
        <v>5.1347513735209782</v>
      </c>
      <c r="O26" s="23">
        <v>298</v>
      </c>
      <c r="P26" s="23">
        <v>4922</v>
      </c>
      <c r="Q26" s="23">
        <v>0.42599999999999999</v>
      </c>
      <c r="R26" s="23">
        <v>4393</v>
      </c>
      <c r="S26" s="23">
        <v>8651</v>
      </c>
      <c r="T26" s="23">
        <v>1.3149999999999999</v>
      </c>
      <c r="U26" s="23">
        <v>12</v>
      </c>
      <c r="V26" s="25">
        <f t="shared" si="8"/>
        <v>7.1520000000000001</v>
      </c>
      <c r="W26" s="25">
        <f t="shared" si="9"/>
        <v>105.432</v>
      </c>
      <c r="X26" s="26">
        <f>((L26*60/1000)*1000*9.81*(V26/10)/(3600))/'Global Variables'!$C$8</f>
        <v>0.2421441513001901</v>
      </c>
      <c r="Y26" s="25">
        <f>X26*'Global Variables'!$C$9/1000</f>
        <v>0.72643245390057032</v>
      </c>
    </row>
    <row r="27" spans="2:25" s="23" customFormat="1" x14ac:dyDescent="0.2">
      <c r="B27" s="22" t="s">
        <v>37</v>
      </c>
      <c r="C27" s="23" t="s">
        <v>13</v>
      </c>
      <c r="D27" s="27" t="s">
        <v>21</v>
      </c>
      <c r="E27" s="23">
        <v>1534</v>
      </c>
      <c r="F27" s="23">
        <v>5</v>
      </c>
      <c r="G27" s="23">
        <v>26.6</v>
      </c>
      <c r="I27" s="23">
        <v>35</v>
      </c>
      <c r="J27" s="23">
        <v>30</v>
      </c>
      <c r="K27" s="24">
        <f>E27*((I27-J27)/(LN((I27-'Global Variables'!$C$3)/(J27-'Global Variables'!$C$3)))*1/49.32)^'Global Variables'!$C$4</f>
        <v>242.74855133641591</v>
      </c>
      <c r="L27" s="25">
        <f t="shared" si="7"/>
        <v>0.69356728953261693</v>
      </c>
      <c r="M27" s="61">
        <f t="shared" si="1"/>
        <v>4.161403737195702E-2</v>
      </c>
      <c r="N27" s="25">
        <f>2000*SQRT(((K27/1000)/(1000*4.2*(I27-J27)*PI()*'Global Variables'!$C$7)))</f>
        <v>3.8363987018376795</v>
      </c>
      <c r="O27" s="23">
        <v>109</v>
      </c>
      <c r="P27" s="23">
        <v>2734</v>
      </c>
      <c r="Q27" s="23">
        <v>0.23599999999999999</v>
      </c>
      <c r="R27" s="23">
        <v>1955</v>
      </c>
      <c r="S27" s="23">
        <v>5447</v>
      </c>
      <c r="T27" s="23">
        <v>0.82799999999999996</v>
      </c>
      <c r="U27" s="23">
        <v>20</v>
      </c>
      <c r="V27" s="25">
        <f t="shared" si="8"/>
        <v>4.3600000000000003</v>
      </c>
      <c r="W27" s="25">
        <f t="shared" si="9"/>
        <v>78.2</v>
      </c>
      <c r="X27" s="26">
        <f>((L27*60/1000)*1000*9.81*(V27/10)/(3600))/'Global Variables'!$C$8</f>
        <v>8.240272966937022E-2</v>
      </c>
      <c r="Y27" s="25">
        <f>X27*'Global Variables'!$C$9/1000</f>
        <v>0.24720818900811065</v>
      </c>
    </row>
    <row r="28" spans="2:25" s="23" customFormat="1" x14ac:dyDescent="0.2">
      <c r="B28" s="22" t="s">
        <v>32</v>
      </c>
      <c r="C28" s="23" t="s">
        <v>14</v>
      </c>
      <c r="D28" s="27" t="s">
        <v>22</v>
      </c>
      <c r="E28" s="23">
        <v>738</v>
      </c>
      <c r="F28" s="23">
        <v>6.7</v>
      </c>
      <c r="G28" s="23">
        <v>9</v>
      </c>
      <c r="I28" s="23">
        <v>35</v>
      </c>
      <c r="J28" s="23">
        <v>30</v>
      </c>
      <c r="K28" s="24">
        <f>E28*((I28-J28)/(LN((I28-'Global Variables'!$C$3)/(J28-'Global Variables'!$C$3)))*1/49.32)^'Global Variables'!$C$4</f>
        <v>116.78515703146998</v>
      </c>
      <c r="L28" s="25">
        <f>60*K28/(4200*(I28-J28))</f>
        <v>0.33367187723277136</v>
      </c>
      <c r="M28" s="61">
        <f t="shared" si="1"/>
        <v>2.0020312633966281E-2</v>
      </c>
      <c r="N28" s="25">
        <f>2000*SQRT(((K28/1000)/(1000*4.2*(I28-J28)*PI()*'Global Variables'!$C$7)))</f>
        <v>2.6609654546761186</v>
      </c>
      <c r="O28" s="23">
        <v>26</v>
      </c>
      <c r="P28" s="23">
        <v>1276</v>
      </c>
      <c r="Q28" s="23">
        <v>0.11</v>
      </c>
      <c r="R28" s="23">
        <v>250</v>
      </c>
      <c r="S28" s="23">
        <v>2243</v>
      </c>
      <c r="T28" s="23">
        <v>0.34100000000000003</v>
      </c>
      <c r="U28" s="23">
        <v>3</v>
      </c>
      <c r="V28" s="25">
        <f t="shared" si="8"/>
        <v>0.156</v>
      </c>
      <c r="W28" s="25">
        <f t="shared" si="9"/>
        <v>1.5</v>
      </c>
      <c r="X28" s="26">
        <f>((L28*60/1000)*1000*9.81*(V28/10)/(3600))/'Global Variables'!$C$8</f>
        <v>1.4184391501165109E-3</v>
      </c>
      <c r="Y28" s="25">
        <f>X28*'Global Variables'!$C$9/1000</f>
        <v>4.2553174503495326E-3</v>
      </c>
    </row>
    <row r="29" spans="2:25" s="23" customFormat="1" x14ac:dyDescent="0.2">
      <c r="C29" s="23" t="s">
        <v>15</v>
      </c>
      <c r="D29" s="27" t="s">
        <v>24</v>
      </c>
      <c r="H29" s="23">
        <v>2.5</v>
      </c>
      <c r="I29" s="23">
        <v>35</v>
      </c>
      <c r="J29" s="23">
        <v>22</v>
      </c>
      <c r="K29" s="24">
        <f>'Global Variables'!$C$5*H29</f>
        <v>125</v>
      </c>
      <c r="L29" s="25">
        <f>60*K29/(4200*(I29-J29))</f>
        <v>0.13736263736263737</v>
      </c>
      <c r="M29" s="61">
        <f t="shared" si="1"/>
        <v>8.241758241758242E-3</v>
      </c>
      <c r="N29" s="25">
        <f>2000*SQRT(((K29/1000)/(1000*4.2*(I29-J29)*PI()*'Global Variables'!$C$7)))</f>
        <v>1.7073153480402383</v>
      </c>
      <c r="O29" s="23">
        <v>4</v>
      </c>
      <c r="P29" s="23">
        <v>182</v>
      </c>
      <c r="Q29" s="23">
        <v>1.6E-2</v>
      </c>
      <c r="R29" s="23">
        <v>35</v>
      </c>
      <c r="S29" s="23">
        <v>320</v>
      </c>
      <c r="T29" s="23">
        <v>4.9000000000000002E-2</v>
      </c>
      <c r="U29" s="23">
        <v>30</v>
      </c>
      <c r="V29" s="25">
        <f t="shared" si="8"/>
        <v>0.24</v>
      </c>
      <c r="W29" s="25">
        <f t="shared" si="9"/>
        <v>2.1</v>
      </c>
      <c r="X29" s="26">
        <f>((L29*60/1000)*1000*9.81*(W29/10)/(3600))/'Global Variables'!$C$8</f>
        <v>7.860576923076925E-3</v>
      </c>
      <c r="Y29" s="25">
        <f>X29*'Global Variables'!$C$9/1000</f>
        <v>2.3581730769230775E-2</v>
      </c>
    </row>
    <row r="30" spans="2:25" s="23" customFormat="1" x14ac:dyDescent="0.2">
      <c r="B30" s="22" t="s">
        <v>33</v>
      </c>
      <c r="C30" s="23" t="s">
        <v>16</v>
      </c>
      <c r="D30" s="27" t="s">
        <v>23</v>
      </c>
      <c r="E30" s="23">
        <v>1100</v>
      </c>
      <c r="F30" s="23">
        <v>10.199999999999999</v>
      </c>
      <c r="G30" s="23">
        <v>27</v>
      </c>
      <c r="I30" s="23">
        <v>35</v>
      </c>
      <c r="J30" s="23">
        <v>30</v>
      </c>
      <c r="K30" s="24">
        <f>E30*((I30-J30)/(LN((I30-'Global Variables'!$C$3)/(J30-'Global Variables'!$C$3)))*1/49.32)^'Global Variables'!$C$4</f>
        <v>174.07001725557856</v>
      </c>
      <c r="L30" s="25">
        <f>60*K30/(4200*(I30-J30))</f>
        <v>0.49734290644451018</v>
      </c>
      <c r="M30" s="61">
        <f t="shared" si="1"/>
        <v>2.984057438667061E-2</v>
      </c>
      <c r="N30" s="25">
        <f>2000*SQRT(((K30/1000)/(1000*4.2*(I30-J30)*PI()*'Global Variables'!$C$7)))</f>
        <v>3.2486834661102093</v>
      </c>
      <c r="O30" s="23">
        <v>41</v>
      </c>
      <c r="P30" s="23">
        <v>2005</v>
      </c>
      <c r="Q30" s="23">
        <v>0.17299999999999999</v>
      </c>
      <c r="R30" s="23">
        <v>921</v>
      </c>
      <c r="S30" s="23">
        <v>3524</v>
      </c>
      <c r="T30" s="23">
        <v>0.53600000000000003</v>
      </c>
      <c r="U30" s="23">
        <v>3</v>
      </c>
      <c r="V30" s="25">
        <f t="shared" si="8"/>
        <v>0.246</v>
      </c>
      <c r="W30" s="25">
        <f t="shared" si="9"/>
        <v>5.5259999999999998</v>
      </c>
      <c r="X30" s="26">
        <f>((L30*60/1000)*1000*9.81*(V30/10)/(3600))/'Global Variables'!$C$8</f>
        <v>3.3339381733507737E-3</v>
      </c>
      <c r="Y30" s="25">
        <f>X30*'Global Variables'!$C$9/1000</f>
        <v>1.000181452005232E-2</v>
      </c>
    </row>
    <row r="31" spans="2:25" s="23" customFormat="1" x14ac:dyDescent="0.2">
      <c r="C31" s="23" t="s">
        <v>17</v>
      </c>
      <c r="D31" s="27" t="s">
        <v>25</v>
      </c>
      <c r="H31" s="23">
        <v>4</v>
      </c>
      <c r="I31" s="23">
        <v>35</v>
      </c>
      <c r="J31" s="23">
        <v>22</v>
      </c>
      <c r="K31" s="24">
        <f>'Global Variables'!$C$5*H31</f>
        <v>200</v>
      </c>
      <c r="L31" s="25">
        <f>60*K31/(4200*(I31-J31))</f>
        <v>0.21978021978021978</v>
      </c>
      <c r="M31" s="61">
        <f t="shared" si="1"/>
        <v>1.3186813186813187E-2</v>
      </c>
      <c r="N31" s="25">
        <f>2000*SQRT(((K31/1000)/(1000*4.2*(I31-J31)*PI()*'Global Variables'!$C$7)))</f>
        <v>2.1596020735880992</v>
      </c>
      <c r="O31" s="23">
        <v>4</v>
      </c>
      <c r="P31" s="23">
        <v>182</v>
      </c>
      <c r="Q31" s="23">
        <v>1.6E-2</v>
      </c>
      <c r="R31" s="23">
        <v>35</v>
      </c>
      <c r="S31" s="23">
        <v>320</v>
      </c>
      <c r="T31" s="23">
        <v>4.9000000000000002E-2</v>
      </c>
      <c r="U31" s="23">
        <v>30</v>
      </c>
      <c r="V31" s="25">
        <f t="shared" si="8"/>
        <v>0.24</v>
      </c>
      <c r="W31" s="25">
        <f t="shared" si="9"/>
        <v>2.1</v>
      </c>
      <c r="X31" s="26">
        <f>((L31*60/1000)*1000*9.81*(W31/10)/(3600))/'Global Variables'!$C$8</f>
        <v>1.2576923076923079E-2</v>
      </c>
      <c r="Y31" s="25">
        <f>X31*'Global Variables'!$C$9/1000</f>
        <v>3.7730769230769241E-2</v>
      </c>
    </row>
    <row r="32" spans="2:25" s="23" customFormat="1" x14ac:dyDescent="0.2">
      <c r="K32" s="24"/>
      <c r="L32" s="25"/>
      <c r="M32" s="61"/>
      <c r="N32" s="25"/>
    </row>
    <row r="33" spans="2:25" s="23" customFormat="1" x14ac:dyDescent="0.2">
      <c r="C33" s="28" t="s">
        <v>47</v>
      </c>
      <c r="E33" s="29">
        <f>SUM(E19:E31)</f>
        <v>26539</v>
      </c>
      <c r="F33" s="24">
        <f t="shared" ref="F33:L33" si="10">SUM(F19:F31)</f>
        <v>103.4</v>
      </c>
      <c r="G33" s="24">
        <f t="shared" si="10"/>
        <v>496.70000000000005</v>
      </c>
      <c r="H33" s="23">
        <f t="shared" si="10"/>
        <v>6.5</v>
      </c>
      <c r="K33" s="24">
        <f t="shared" si="10"/>
        <v>4524.6765344961823</v>
      </c>
      <c r="L33" s="25">
        <f t="shared" si="10"/>
        <v>12.356218669989087</v>
      </c>
      <c r="M33" s="61">
        <f t="shared" si="1"/>
        <v>0.7413731201993452</v>
      </c>
      <c r="N33" s="25"/>
      <c r="X33" s="25">
        <f t="shared" ref="X33:Y33" si="11">SUM(X19:X31)</f>
        <v>2.3043972098828993</v>
      </c>
      <c r="Y33" s="25">
        <f t="shared" si="11"/>
        <v>6.9131916296486997</v>
      </c>
    </row>
    <row r="34" spans="2:25" x14ac:dyDescent="0.2">
      <c r="M34" s="60"/>
    </row>
    <row r="35" spans="2:25" s="39" customFormat="1" x14ac:dyDescent="0.2">
      <c r="B35" s="38" t="s">
        <v>29</v>
      </c>
      <c r="C35" s="39" t="s">
        <v>5</v>
      </c>
      <c r="D35" s="39" t="s">
        <v>18</v>
      </c>
      <c r="E35" s="39">
        <v>2748</v>
      </c>
      <c r="F35" s="39">
        <v>9.6999999999999993</v>
      </c>
      <c r="G35" s="39">
        <v>50.3</v>
      </c>
      <c r="I35" s="39">
        <v>45</v>
      </c>
      <c r="J35" s="39">
        <v>40</v>
      </c>
      <c r="K35" s="40">
        <f>E35*((I35-J35)/(LN((I35-'Global Variables'!$C$3)/(J35-'Global Variables'!$C$3)))*1/49.32)^'Global Variables'!$C$4</f>
        <v>962.29666541833865</v>
      </c>
      <c r="L35" s="16">
        <f>60*K35/(4200*(I35-J35))</f>
        <v>2.749419044052396</v>
      </c>
      <c r="M35" s="62">
        <f t="shared" si="1"/>
        <v>0.16496514264314377</v>
      </c>
      <c r="N35" s="16">
        <f>2000*SQRT(((K35/1000)/(1000*4.2*(I35-J35)*PI()*'Global Variables'!$C$7)))</f>
        <v>7.6383561188860734</v>
      </c>
      <c r="O35" s="39">
        <v>298</v>
      </c>
      <c r="P35" s="39">
        <v>4922</v>
      </c>
      <c r="Q35" s="39">
        <v>0.42599999999999999</v>
      </c>
      <c r="R35" s="39">
        <v>4393</v>
      </c>
      <c r="S35" s="39">
        <v>8651</v>
      </c>
      <c r="T35" s="39">
        <v>1.3149999999999999</v>
      </c>
      <c r="U35" s="39">
        <v>12</v>
      </c>
      <c r="V35" s="16">
        <f>2*U35*O35/1000</f>
        <v>7.1520000000000001</v>
      </c>
      <c r="W35" s="16">
        <f>2*U35*R35/1000</f>
        <v>105.432</v>
      </c>
      <c r="X35" s="41">
        <f>((L35*60/1000)*1000*9.81*(V35/10)/(3600))/'Global Variables'!$C$8</f>
        <v>0.53583977633345969</v>
      </c>
      <c r="Y35" s="16">
        <f>X35*'Global Variables'!$C$9/1000</f>
        <v>1.6075193290003791</v>
      </c>
    </row>
    <row r="36" spans="2:25" s="39" customFormat="1" x14ac:dyDescent="0.2">
      <c r="B36" s="38" t="s">
        <v>29</v>
      </c>
      <c r="C36" s="39" t="s">
        <v>6</v>
      </c>
      <c r="D36" s="39" t="s">
        <v>18</v>
      </c>
      <c r="E36" s="39">
        <v>3145</v>
      </c>
      <c r="F36" s="39">
        <v>9.6999999999999993</v>
      </c>
      <c r="G36" s="39">
        <v>50.3</v>
      </c>
      <c r="I36" s="39">
        <v>45</v>
      </c>
      <c r="J36" s="39">
        <v>40</v>
      </c>
      <c r="K36" s="40">
        <f>E36*((I36-J36)/(LN((I36-'Global Variables'!$C$3)/(J36-'Global Variables'!$C$3)))*1/49.32)^'Global Variables'!$C$4</f>
        <v>1101.3184180279022</v>
      </c>
      <c r="L36" s="16">
        <f t="shared" ref="L36:L43" si="12">60*K36/(4200*(I36-J36))</f>
        <v>3.1466240515082919</v>
      </c>
      <c r="M36" s="62">
        <f t="shared" si="1"/>
        <v>0.18879744309049754</v>
      </c>
      <c r="N36" s="16">
        <f>2000*SQRT(((K36/1000)/(1000*4.2*(I36-J36)*PI()*'Global Variables'!$C$7)))</f>
        <v>8.1715014683095752</v>
      </c>
      <c r="O36" s="39">
        <v>378</v>
      </c>
      <c r="P36" s="39">
        <v>5651</v>
      </c>
      <c r="Q36" s="39">
        <v>0.48899999999999999</v>
      </c>
      <c r="R36" s="39">
        <v>5607</v>
      </c>
      <c r="S36" s="39">
        <v>9933</v>
      </c>
      <c r="T36" s="39">
        <v>1.51</v>
      </c>
      <c r="U36" s="39">
        <v>12</v>
      </c>
      <c r="V36" s="16">
        <f t="shared" ref="V36:V47" si="13">2*U36*O36/1000</f>
        <v>9.0719999999999992</v>
      </c>
      <c r="W36" s="16">
        <f t="shared" ref="W36:W47" si="14">2*U36*R36/1000</f>
        <v>134.56800000000001</v>
      </c>
      <c r="X36" s="41">
        <f>((L36*60/1000)*1000*9.81*(V36/10)/(3600))/'Global Variables'!$C$8</f>
        <v>0.77788322502146789</v>
      </c>
      <c r="Y36" s="16">
        <f>X36*'Global Variables'!$C$9/1000</f>
        <v>2.3336496750644038</v>
      </c>
    </row>
    <row r="37" spans="2:25" s="39" customFormat="1" x14ac:dyDescent="0.2">
      <c r="B37" s="38" t="s">
        <v>31</v>
      </c>
      <c r="C37" s="39" t="s">
        <v>7</v>
      </c>
      <c r="D37" s="39" t="s">
        <v>19</v>
      </c>
      <c r="E37" s="39">
        <v>2748</v>
      </c>
      <c r="F37" s="39">
        <v>11</v>
      </c>
      <c r="G37" s="39">
        <v>68</v>
      </c>
      <c r="I37" s="39">
        <v>45</v>
      </c>
      <c r="J37" s="39">
        <v>40</v>
      </c>
      <c r="K37" s="40">
        <f>E37*((I37-J37)/(LN((I37-'Global Variables'!$C$3)/(J37-'Global Variables'!$C$3)))*1/49.32)^'Global Variables'!$C$4</f>
        <v>962.29666541833865</v>
      </c>
      <c r="L37" s="16">
        <f t="shared" si="12"/>
        <v>2.749419044052396</v>
      </c>
      <c r="M37" s="62">
        <f t="shared" si="1"/>
        <v>0.16496514264314377</v>
      </c>
      <c r="N37" s="16">
        <f>2000*SQRT(((K37/1000)/(1000*4.2*(I37-J37)*PI()*'Global Variables'!$C$7)))</f>
        <v>7.6383561188860734</v>
      </c>
      <c r="O37" s="39">
        <v>298</v>
      </c>
      <c r="P37" s="39">
        <v>4922</v>
      </c>
      <c r="Q37" s="39">
        <v>0.42599999999999999</v>
      </c>
      <c r="R37" s="39">
        <v>4393</v>
      </c>
      <c r="S37" s="39">
        <v>8651</v>
      </c>
      <c r="T37" s="39">
        <v>1.3149999999999999</v>
      </c>
      <c r="U37" s="39">
        <v>10</v>
      </c>
      <c r="V37" s="16">
        <f t="shared" si="13"/>
        <v>5.96</v>
      </c>
      <c r="W37" s="16">
        <f t="shared" si="14"/>
        <v>87.86</v>
      </c>
      <c r="X37" s="41">
        <f>((L37*60/1000)*1000*9.81*(V37/10)/(3600))/'Global Variables'!$C$8</f>
        <v>0.44653314694454965</v>
      </c>
      <c r="Y37" s="16">
        <f>X37*'Global Variables'!$C$9/1000</f>
        <v>1.3395994408336489</v>
      </c>
    </row>
    <row r="38" spans="2:25" s="39" customFormat="1" x14ac:dyDescent="0.2">
      <c r="B38" s="38" t="s">
        <v>30</v>
      </c>
      <c r="C38" s="39" t="s">
        <v>8</v>
      </c>
      <c r="D38" s="42" t="s">
        <v>20</v>
      </c>
      <c r="E38" s="39">
        <v>3141</v>
      </c>
      <c r="F38" s="39">
        <v>11</v>
      </c>
      <c r="G38" s="39">
        <v>57.3</v>
      </c>
      <c r="I38" s="39">
        <v>45</v>
      </c>
      <c r="J38" s="39">
        <v>40</v>
      </c>
      <c r="K38" s="40">
        <f>E38*((I38-J38)/(LN((I38-'Global Variables'!$C$3)/(J38-'Global Variables'!$C$3)))*1/49.32)^'Global Variables'!$C$4</f>
        <v>1099.917695079695</v>
      </c>
      <c r="L38" s="16">
        <f t="shared" si="12"/>
        <v>3.1426219859419859</v>
      </c>
      <c r="M38" s="62">
        <f t="shared" si="1"/>
        <v>0.18855731915651916</v>
      </c>
      <c r="N38" s="16">
        <f>2000*SQRT(((K38/1000)/(1000*4.2*(I38-J38)*PI()*'Global Variables'!$C$7)))</f>
        <v>8.1663033116332056</v>
      </c>
      <c r="O38" s="39">
        <v>378</v>
      </c>
      <c r="P38" s="39">
        <v>5651</v>
      </c>
      <c r="Q38" s="39">
        <v>0.48899999999999999</v>
      </c>
      <c r="R38" s="39">
        <v>5607</v>
      </c>
      <c r="S38" s="39">
        <v>9933</v>
      </c>
      <c r="T38" s="39">
        <v>1.51</v>
      </c>
      <c r="U38" s="39">
        <v>6</v>
      </c>
      <c r="V38" s="16">
        <f t="shared" si="13"/>
        <v>4.5359999999999996</v>
      </c>
      <c r="W38" s="16">
        <f t="shared" si="14"/>
        <v>67.284000000000006</v>
      </c>
      <c r="X38" s="41">
        <f>((L38*60/1000)*1000*9.81*(V38/10)/(3600))/'Global Variables'!$C$8</f>
        <v>0.38844693319434509</v>
      </c>
      <c r="Y38" s="16">
        <f>X38*'Global Variables'!$C$9/1000</f>
        <v>1.1653407995830354</v>
      </c>
    </row>
    <row r="39" spans="2:25" s="46" customFormat="1" ht="15" customHeight="1" x14ac:dyDescent="0.2">
      <c r="B39" s="45" t="s">
        <v>29</v>
      </c>
      <c r="C39" s="46" t="s">
        <v>9</v>
      </c>
      <c r="D39" s="47" t="s">
        <v>18</v>
      </c>
      <c r="E39" s="46">
        <v>0</v>
      </c>
      <c r="F39" s="46">
        <v>0</v>
      </c>
      <c r="G39" s="46">
        <v>50.3</v>
      </c>
      <c r="I39" s="46">
        <v>45</v>
      </c>
      <c r="J39" s="46">
        <v>40</v>
      </c>
      <c r="K39" s="48">
        <f>E39*((I39-J39)/(LN((I39-'Global Variables'!$C$3)/(J39-'Global Variables'!$C$3)))*1/49.32)^'Global Variables'!$C$4</f>
        <v>0</v>
      </c>
      <c r="L39" s="49">
        <f t="shared" si="12"/>
        <v>0</v>
      </c>
      <c r="M39" s="63">
        <f t="shared" si="1"/>
        <v>0</v>
      </c>
      <c r="N39" s="49">
        <f>2000*SQRT(((K39/1000)/(1000*4.2*(I39-J39)*PI()*'Global Variables'!$C$7)))</f>
        <v>0</v>
      </c>
      <c r="O39" s="46">
        <v>298</v>
      </c>
      <c r="P39" s="46">
        <v>4922</v>
      </c>
      <c r="Q39" s="46">
        <v>0.42599999999999999</v>
      </c>
      <c r="R39" s="46">
        <v>4393</v>
      </c>
      <c r="S39" s="46">
        <v>8651</v>
      </c>
      <c r="T39" s="46">
        <v>1.3149999999999999</v>
      </c>
      <c r="U39" s="46">
        <v>15</v>
      </c>
      <c r="V39" s="49">
        <f t="shared" si="13"/>
        <v>8.94</v>
      </c>
      <c r="W39" s="49">
        <f t="shared" si="14"/>
        <v>131.79</v>
      </c>
      <c r="X39" s="50">
        <f>((L39*60/1000)*1000*9.81*(V39/10)/(3600))/'Global Variables'!$C$8</f>
        <v>0</v>
      </c>
      <c r="Y39" s="49">
        <f>X39*'Global Variables'!$C$9/1000</f>
        <v>0</v>
      </c>
    </row>
    <row r="40" spans="2:25" s="46" customFormat="1" x14ac:dyDescent="0.2">
      <c r="B40" s="45" t="s">
        <v>30</v>
      </c>
      <c r="C40" s="46" t="s">
        <v>10</v>
      </c>
      <c r="D40" s="47" t="s">
        <v>20</v>
      </c>
      <c r="E40" s="46">
        <v>0</v>
      </c>
      <c r="F40" s="46">
        <v>0</v>
      </c>
      <c r="G40" s="46">
        <v>57.3</v>
      </c>
      <c r="I40" s="46">
        <v>45</v>
      </c>
      <c r="J40" s="46">
        <v>40</v>
      </c>
      <c r="K40" s="48">
        <f>E40*((I40-J40)/(LN((I40-'Global Variables'!$C$3)/(J40-'Global Variables'!$C$3)))*1/49.32)^'Global Variables'!$C$4</f>
        <v>0</v>
      </c>
      <c r="L40" s="49">
        <f t="shared" si="12"/>
        <v>0</v>
      </c>
      <c r="M40" s="63">
        <f t="shared" si="1"/>
        <v>0</v>
      </c>
      <c r="N40" s="49">
        <f>2000*SQRT(((K40/1000)/(1000*4.2*(I40-J40)*PI()*'Global Variables'!$C$7)))</f>
        <v>0</v>
      </c>
      <c r="O40" s="46">
        <v>378</v>
      </c>
      <c r="P40" s="46">
        <v>5651</v>
      </c>
      <c r="Q40" s="46">
        <v>0.48899999999999999</v>
      </c>
      <c r="R40" s="46">
        <v>5607</v>
      </c>
      <c r="S40" s="46">
        <v>9933</v>
      </c>
      <c r="T40" s="46">
        <v>1.51</v>
      </c>
      <c r="U40" s="46">
        <v>15</v>
      </c>
      <c r="V40" s="49">
        <f t="shared" si="13"/>
        <v>11.34</v>
      </c>
      <c r="W40" s="49">
        <f t="shared" si="14"/>
        <v>168.21</v>
      </c>
      <c r="X40" s="50">
        <f>((L40*60/1000)*1000*9.81*(V40/10)/(3600))/'Global Variables'!$C$8</f>
        <v>0</v>
      </c>
      <c r="Y40" s="49">
        <f>X40*'Global Variables'!$C$9/1000</f>
        <v>0</v>
      </c>
    </row>
    <row r="41" spans="2:25" s="39" customFormat="1" x14ac:dyDescent="0.2">
      <c r="B41" s="38" t="s">
        <v>29</v>
      </c>
      <c r="C41" s="39" t="s">
        <v>11</v>
      </c>
      <c r="D41" s="42" t="s">
        <v>18</v>
      </c>
      <c r="E41" s="39">
        <v>2748</v>
      </c>
      <c r="F41" s="39">
        <v>9.6999999999999993</v>
      </c>
      <c r="G41" s="39">
        <v>50.3</v>
      </c>
      <c r="I41" s="39">
        <v>45</v>
      </c>
      <c r="J41" s="39">
        <v>40</v>
      </c>
      <c r="K41" s="40">
        <f>E41*((I41-J41)/(LN((I41-'Global Variables'!$C$3)/(J41-'Global Variables'!$C$3)))*1/49.32)^'Global Variables'!$C$4</f>
        <v>962.29666541833865</v>
      </c>
      <c r="L41" s="16">
        <f t="shared" si="12"/>
        <v>2.749419044052396</v>
      </c>
      <c r="M41" s="62">
        <f t="shared" si="1"/>
        <v>0.16496514264314377</v>
      </c>
      <c r="N41" s="16">
        <f>2000*SQRT(((K41/1000)/(1000*4.2*(I41-J41)*PI()*'Global Variables'!$C$7)))</f>
        <v>7.6383561188860734</v>
      </c>
      <c r="O41" s="39">
        <v>298</v>
      </c>
      <c r="P41" s="39">
        <v>4922</v>
      </c>
      <c r="Q41" s="39">
        <v>0.42599999999999999</v>
      </c>
      <c r="R41" s="39">
        <v>4393</v>
      </c>
      <c r="S41" s="39">
        <v>8651</v>
      </c>
      <c r="T41" s="39">
        <v>1.3149999999999999</v>
      </c>
      <c r="U41" s="39">
        <v>12</v>
      </c>
      <c r="V41" s="16">
        <f t="shared" si="13"/>
        <v>7.1520000000000001</v>
      </c>
      <c r="W41" s="16">
        <f t="shared" si="14"/>
        <v>105.432</v>
      </c>
      <c r="X41" s="41">
        <f>((L41*60/1000)*1000*9.81*(V41/10)/(3600))/'Global Variables'!$C$8</f>
        <v>0.53583977633345969</v>
      </c>
      <c r="Y41" s="16">
        <f>X41*'Global Variables'!$C$9/1000</f>
        <v>1.6075193290003791</v>
      </c>
    </row>
    <row r="42" spans="2:25" s="39" customFormat="1" x14ac:dyDescent="0.2">
      <c r="B42" s="38" t="s">
        <v>29</v>
      </c>
      <c r="C42" s="39" t="s">
        <v>12</v>
      </c>
      <c r="D42" s="42" t="s">
        <v>18</v>
      </c>
      <c r="E42" s="39">
        <v>2748</v>
      </c>
      <c r="F42" s="39">
        <v>9.6999999999999993</v>
      </c>
      <c r="G42" s="39">
        <v>50.3</v>
      </c>
      <c r="I42" s="39">
        <v>45</v>
      </c>
      <c r="J42" s="39">
        <v>40</v>
      </c>
      <c r="K42" s="40">
        <f>E42*((I42-J42)/(LN((I42-'Global Variables'!$C$3)/(J42-'Global Variables'!$C$3)))*1/49.32)^'Global Variables'!$C$4</f>
        <v>962.29666541833865</v>
      </c>
      <c r="L42" s="16">
        <f t="shared" si="12"/>
        <v>2.749419044052396</v>
      </c>
      <c r="M42" s="62">
        <f t="shared" si="1"/>
        <v>0.16496514264314377</v>
      </c>
      <c r="N42" s="16">
        <f>2000*SQRT(((K42/1000)/(1000*4.2*(I42-J42)*PI()*'Global Variables'!$C$7)))</f>
        <v>7.6383561188860734</v>
      </c>
      <c r="O42" s="39">
        <v>298</v>
      </c>
      <c r="P42" s="39">
        <v>4922</v>
      </c>
      <c r="Q42" s="39">
        <v>0.42599999999999999</v>
      </c>
      <c r="R42" s="39">
        <v>4393</v>
      </c>
      <c r="S42" s="39">
        <v>8651</v>
      </c>
      <c r="T42" s="39">
        <v>1.3149999999999999</v>
      </c>
      <c r="U42" s="39">
        <v>12</v>
      </c>
      <c r="V42" s="16">
        <f t="shared" si="13"/>
        <v>7.1520000000000001</v>
      </c>
      <c r="W42" s="16">
        <f t="shared" si="14"/>
        <v>105.432</v>
      </c>
      <c r="X42" s="41">
        <f>((L42*60/1000)*1000*9.81*(V42/10)/(3600))/'Global Variables'!$C$8</f>
        <v>0.53583977633345969</v>
      </c>
      <c r="Y42" s="16">
        <f>X42*'Global Variables'!$C$9/1000</f>
        <v>1.6075193290003791</v>
      </c>
    </row>
    <row r="43" spans="2:25" s="46" customFormat="1" x14ac:dyDescent="0.2">
      <c r="B43" s="45" t="s">
        <v>37</v>
      </c>
      <c r="C43" s="46" t="s">
        <v>13</v>
      </c>
      <c r="D43" s="47" t="s">
        <v>21</v>
      </c>
      <c r="E43" s="46">
        <v>0</v>
      </c>
      <c r="F43" s="46">
        <v>0</v>
      </c>
      <c r="G43" s="46">
        <v>26.6</v>
      </c>
      <c r="I43" s="46">
        <v>45</v>
      </c>
      <c r="J43" s="46">
        <v>40</v>
      </c>
      <c r="K43" s="48">
        <f>E43*((I43-J43)/(LN((I43-'Global Variables'!$C$3)/(J43-'Global Variables'!$C$3)))*1/49.32)^'Global Variables'!$C$4</f>
        <v>0</v>
      </c>
      <c r="L43" s="49">
        <f t="shared" si="12"/>
        <v>0</v>
      </c>
      <c r="M43" s="63">
        <f t="shared" si="1"/>
        <v>0</v>
      </c>
      <c r="N43" s="49">
        <f>2000*SQRT(((K43/1000)/(1000*4.2*(I43-J43)*PI()*'Global Variables'!$C$7)))</f>
        <v>0</v>
      </c>
      <c r="O43" s="46">
        <v>109</v>
      </c>
      <c r="P43" s="46">
        <v>2734</v>
      </c>
      <c r="Q43" s="46">
        <v>0.23599999999999999</v>
      </c>
      <c r="R43" s="46">
        <v>1955</v>
      </c>
      <c r="S43" s="46">
        <v>5447</v>
      </c>
      <c r="T43" s="46">
        <v>0.82799999999999996</v>
      </c>
      <c r="U43" s="46">
        <v>20</v>
      </c>
      <c r="V43" s="49">
        <f t="shared" si="13"/>
        <v>4.3600000000000003</v>
      </c>
      <c r="W43" s="49">
        <f t="shared" si="14"/>
        <v>78.2</v>
      </c>
      <c r="X43" s="50">
        <f>((L43*60/1000)*1000*9.81*(V43/10)/(3600))/'Global Variables'!$C$8</f>
        <v>0</v>
      </c>
      <c r="Y43" s="49">
        <f>X43*'Global Variables'!$C$9/1000</f>
        <v>0</v>
      </c>
    </row>
    <row r="44" spans="2:25" s="46" customFormat="1" x14ac:dyDescent="0.2">
      <c r="B44" s="45" t="s">
        <v>32</v>
      </c>
      <c r="C44" s="46" t="s">
        <v>14</v>
      </c>
      <c r="D44" s="47" t="s">
        <v>22</v>
      </c>
      <c r="E44" s="46">
        <v>0</v>
      </c>
      <c r="F44" s="46">
        <v>0</v>
      </c>
      <c r="G44" s="46">
        <v>9</v>
      </c>
      <c r="I44" s="46">
        <v>45</v>
      </c>
      <c r="J44" s="46">
        <v>40</v>
      </c>
      <c r="K44" s="48">
        <f>E44*((I44-J44)/(LN((I44-'Global Variables'!$C$3)/(J44-'Global Variables'!$C$3)))*1/49.32)^'Global Variables'!$C$4</f>
        <v>0</v>
      </c>
      <c r="L44" s="49">
        <f>60*K44/(4200*(I44-J44))</f>
        <v>0</v>
      </c>
      <c r="M44" s="63">
        <f t="shared" si="1"/>
        <v>0</v>
      </c>
      <c r="N44" s="49">
        <f>2000*SQRT(((K44/1000)/(1000*4.2*(I44-J44)*PI()*'Global Variables'!$C$7)))</f>
        <v>0</v>
      </c>
      <c r="O44" s="46">
        <v>26</v>
      </c>
      <c r="P44" s="46">
        <v>1276</v>
      </c>
      <c r="Q44" s="46">
        <v>0.11</v>
      </c>
      <c r="R44" s="46">
        <v>250</v>
      </c>
      <c r="S44" s="46">
        <v>2243</v>
      </c>
      <c r="T44" s="46">
        <v>0.34100000000000003</v>
      </c>
      <c r="U44" s="46">
        <v>3</v>
      </c>
      <c r="V44" s="49">
        <f t="shared" si="13"/>
        <v>0.156</v>
      </c>
      <c r="W44" s="49">
        <f t="shared" si="14"/>
        <v>1.5</v>
      </c>
      <c r="X44" s="50">
        <f>((L44*60/1000)*1000*9.81*(V44/10)/(3600))/'Global Variables'!$C$8</f>
        <v>0</v>
      </c>
      <c r="Y44" s="49">
        <f>X44*'Global Variables'!$C$9/1000</f>
        <v>0</v>
      </c>
    </row>
    <row r="45" spans="2:25" s="46" customFormat="1" x14ac:dyDescent="0.2">
      <c r="C45" s="46" t="s">
        <v>15</v>
      </c>
      <c r="D45" s="47" t="s">
        <v>24</v>
      </c>
      <c r="E45" s="46">
        <v>0</v>
      </c>
      <c r="H45" s="46">
        <v>2.5</v>
      </c>
      <c r="I45" s="46">
        <v>45</v>
      </c>
      <c r="J45" s="46">
        <v>22</v>
      </c>
      <c r="K45" s="48">
        <v>0</v>
      </c>
      <c r="L45" s="49">
        <f>60*K45/(4200*(I45-J45))</f>
        <v>0</v>
      </c>
      <c r="M45" s="63">
        <f t="shared" si="1"/>
        <v>0</v>
      </c>
      <c r="N45" s="49">
        <f>2000*SQRT(((K45/1000)/(1000*4.2*(I45-J45)*PI()*'Global Variables'!$C$7)))</f>
        <v>0</v>
      </c>
      <c r="O45" s="46">
        <v>4</v>
      </c>
      <c r="P45" s="46">
        <v>182</v>
      </c>
      <c r="Q45" s="46">
        <v>1.6E-2</v>
      </c>
      <c r="R45" s="46">
        <v>35</v>
      </c>
      <c r="S45" s="46">
        <v>320</v>
      </c>
      <c r="T45" s="46">
        <v>4.9000000000000002E-2</v>
      </c>
      <c r="U45" s="46">
        <v>30</v>
      </c>
      <c r="V45" s="49">
        <f t="shared" si="13"/>
        <v>0.24</v>
      </c>
      <c r="W45" s="49">
        <f t="shared" si="14"/>
        <v>2.1</v>
      </c>
      <c r="X45" s="50">
        <f>((L45*60/1000)*1000*9.81*(W45/10)/(3600))/'Global Variables'!$C$8</f>
        <v>0</v>
      </c>
      <c r="Y45" s="49">
        <f>X45*'Global Variables'!$C$9/1000</f>
        <v>0</v>
      </c>
    </row>
    <row r="46" spans="2:25" s="46" customFormat="1" x14ac:dyDescent="0.2">
      <c r="B46" s="45" t="s">
        <v>33</v>
      </c>
      <c r="C46" s="46" t="s">
        <v>16</v>
      </c>
      <c r="D46" s="47" t="s">
        <v>23</v>
      </c>
      <c r="E46" s="46">
        <v>0</v>
      </c>
      <c r="F46" s="46">
        <v>0</v>
      </c>
      <c r="G46" s="46">
        <v>27</v>
      </c>
      <c r="I46" s="46">
        <v>45</v>
      </c>
      <c r="J46" s="46">
        <v>40</v>
      </c>
      <c r="K46" s="48">
        <f>E46*((I46-J46)/(LN((I46-'Global Variables'!$C$3)/(J46-'Global Variables'!$C$3)))*1/49.32)^'Global Variables'!$C$4</f>
        <v>0</v>
      </c>
      <c r="L46" s="49">
        <f>60*K46/(4200*(I46-J46))</f>
        <v>0</v>
      </c>
      <c r="M46" s="63">
        <f t="shared" si="1"/>
        <v>0</v>
      </c>
      <c r="N46" s="49">
        <f>2000*SQRT(((K46/1000)/(1000*4.2*(I46-J46)*PI()*'Global Variables'!$C$7)))</f>
        <v>0</v>
      </c>
      <c r="O46" s="46">
        <v>41</v>
      </c>
      <c r="P46" s="46">
        <v>2005</v>
      </c>
      <c r="Q46" s="46">
        <v>0.17299999999999999</v>
      </c>
      <c r="R46" s="46">
        <v>921</v>
      </c>
      <c r="S46" s="46">
        <v>3524</v>
      </c>
      <c r="T46" s="46">
        <v>0.53600000000000003</v>
      </c>
      <c r="U46" s="46">
        <v>3</v>
      </c>
      <c r="V46" s="49">
        <f t="shared" si="13"/>
        <v>0.246</v>
      </c>
      <c r="W46" s="49">
        <f t="shared" si="14"/>
        <v>5.5259999999999998</v>
      </c>
      <c r="X46" s="50">
        <f>((L46*60/1000)*1000*9.81*(V46/10)/(3600))/'Global Variables'!$C$8</f>
        <v>0</v>
      </c>
      <c r="Y46" s="49">
        <f>X46*'Global Variables'!$C$9/1000</f>
        <v>0</v>
      </c>
    </row>
    <row r="47" spans="2:25" s="46" customFormat="1" x14ac:dyDescent="0.2">
      <c r="C47" s="46" t="s">
        <v>17</v>
      </c>
      <c r="D47" s="47" t="s">
        <v>25</v>
      </c>
      <c r="E47" s="46">
        <v>0</v>
      </c>
      <c r="H47" s="46">
        <v>4</v>
      </c>
      <c r="I47" s="46">
        <v>45</v>
      </c>
      <c r="J47" s="46">
        <v>22</v>
      </c>
      <c r="K47" s="48">
        <v>0</v>
      </c>
      <c r="L47" s="49">
        <f>60*K47/(4200*(I47-J47))</f>
        <v>0</v>
      </c>
      <c r="M47" s="63">
        <f t="shared" si="1"/>
        <v>0</v>
      </c>
      <c r="N47" s="49">
        <f>2000*SQRT(((K47/1000)/(1000*4.2*(I47-J47)*PI()*'Global Variables'!$C$7)))</f>
        <v>0</v>
      </c>
      <c r="O47" s="46">
        <v>4</v>
      </c>
      <c r="P47" s="46">
        <v>182</v>
      </c>
      <c r="Q47" s="46">
        <v>1.6E-2</v>
      </c>
      <c r="R47" s="46">
        <v>35</v>
      </c>
      <c r="S47" s="46">
        <v>320</v>
      </c>
      <c r="T47" s="46">
        <v>4.9000000000000002E-2</v>
      </c>
      <c r="U47" s="46">
        <v>30</v>
      </c>
      <c r="V47" s="49">
        <f t="shared" si="13"/>
        <v>0.24</v>
      </c>
      <c r="W47" s="49">
        <f t="shared" si="14"/>
        <v>2.1</v>
      </c>
      <c r="X47" s="50">
        <f>((L47*60/1000)*1000*9.81*(W47/10)/(3600))/'Global Variables'!$C$8</f>
        <v>0</v>
      </c>
      <c r="Y47" s="49">
        <f>X47*'Global Variables'!$C$9/1000</f>
        <v>0</v>
      </c>
    </row>
    <row r="48" spans="2:25" s="39" customFormat="1" x14ac:dyDescent="0.2">
      <c r="K48" s="40"/>
      <c r="L48" s="16"/>
      <c r="M48" s="62"/>
      <c r="N48" s="16"/>
    </row>
    <row r="49" spans="2:25" s="39" customFormat="1" x14ac:dyDescent="0.2">
      <c r="C49" s="43" t="s">
        <v>47</v>
      </c>
      <c r="E49" s="44">
        <f>SUM(E35:E47)</f>
        <v>17278</v>
      </c>
      <c r="F49" s="40">
        <f t="shared" ref="F49:H49" si="15">SUM(F35:F47)</f>
        <v>60.8</v>
      </c>
      <c r="G49" s="40">
        <f t="shared" si="15"/>
        <v>496.70000000000005</v>
      </c>
      <c r="H49" s="39">
        <f t="shared" si="15"/>
        <v>6.5</v>
      </c>
      <c r="K49" s="40">
        <f t="shared" ref="K49:L49" si="16">SUM(K35:K47)</f>
        <v>6050.4227747809509</v>
      </c>
      <c r="L49" s="16">
        <f t="shared" si="16"/>
        <v>17.28692221365986</v>
      </c>
      <c r="M49" s="62">
        <f t="shared" si="1"/>
        <v>1.0372153328195917</v>
      </c>
      <c r="N49" s="16"/>
      <c r="X49" s="16">
        <f t="shared" ref="X49:Y49" si="17">SUM(X35:X47)</f>
        <v>3.2203826341607424</v>
      </c>
      <c r="Y49" s="16">
        <f t="shared" si="17"/>
        <v>9.6611479024822238</v>
      </c>
    </row>
    <row r="50" spans="2:25" x14ac:dyDescent="0.2">
      <c r="M50" s="60"/>
    </row>
    <row r="51" spans="2:25" s="52" customFormat="1" x14ac:dyDescent="0.2">
      <c r="B51" s="51" t="s">
        <v>29</v>
      </c>
      <c r="C51" s="52" t="s">
        <v>5</v>
      </c>
      <c r="D51" s="52" t="s">
        <v>18</v>
      </c>
      <c r="E51" s="52">
        <v>2748</v>
      </c>
      <c r="F51" s="52">
        <v>9.6999999999999993</v>
      </c>
      <c r="G51" s="52">
        <v>50.3</v>
      </c>
      <c r="I51" s="52">
        <v>35</v>
      </c>
      <c r="J51" s="52">
        <v>30</v>
      </c>
      <c r="K51" s="53">
        <f>E51*((I51-J51)/(LN((I51-'Global Variables'!$C$3)/(J51-'Global Variables'!$C$3)))*1/49.32)^'Global Variables'!$C$4</f>
        <v>434.85855219848173</v>
      </c>
      <c r="L51" s="54">
        <f>60*K51/(4200*(I51-J51))</f>
        <v>1.2424530062813763</v>
      </c>
      <c r="M51" s="64">
        <f t="shared" si="1"/>
        <v>7.4547180376882585E-2</v>
      </c>
      <c r="N51" s="54">
        <f>2000*SQRT(((K51/1000)/(1000*4.2*(I51-J51)*PI()*'Global Variables'!$C$7)))</f>
        <v>5.1347513735209782</v>
      </c>
      <c r="O51" s="52">
        <v>298</v>
      </c>
      <c r="P51" s="52">
        <v>4922</v>
      </c>
      <c r="Q51" s="52">
        <v>0.42599999999999999</v>
      </c>
      <c r="R51" s="52">
        <v>4393</v>
      </c>
      <c r="S51" s="52">
        <v>8651</v>
      </c>
      <c r="T51" s="52">
        <v>1.3149999999999999</v>
      </c>
      <c r="U51" s="52">
        <v>12</v>
      </c>
      <c r="V51" s="54">
        <f>2*U51*O51/1000</f>
        <v>7.1520000000000001</v>
      </c>
      <c r="W51" s="54">
        <f>2*U51*R51/1000</f>
        <v>105.432</v>
      </c>
      <c r="X51" s="55">
        <f>((L51*60/1000)*1000*9.81*(V51/10)/(3600))/'Global Variables'!$C$8</f>
        <v>0.2421441513001901</v>
      </c>
      <c r="Y51" s="54">
        <f>X51*'Global Variables'!$C$9/1000</f>
        <v>0.72643245390057032</v>
      </c>
    </row>
    <row r="52" spans="2:25" s="52" customFormat="1" x14ac:dyDescent="0.2">
      <c r="B52" s="51" t="s">
        <v>29</v>
      </c>
      <c r="C52" s="52" t="s">
        <v>6</v>
      </c>
      <c r="D52" s="52" t="s">
        <v>18</v>
      </c>
      <c r="E52" s="52">
        <v>3145</v>
      </c>
      <c r="F52" s="52">
        <v>9.6999999999999993</v>
      </c>
      <c r="G52" s="52">
        <v>50.3</v>
      </c>
      <c r="I52" s="52">
        <v>35</v>
      </c>
      <c r="J52" s="52">
        <v>30</v>
      </c>
      <c r="K52" s="53">
        <f>E52*((I52-J52)/(LN((I52-'Global Variables'!$C$3)/(J52-'Global Variables'!$C$3)))*1/49.32)^'Global Variables'!$C$4</f>
        <v>497.68200388072233</v>
      </c>
      <c r="L52" s="54">
        <f t="shared" ref="L52:L59" si="18">60*K52/(4200*(I52-J52))</f>
        <v>1.4219485825163494</v>
      </c>
      <c r="M52" s="64">
        <f t="shared" si="1"/>
        <v>8.5316914950980954E-2</v>
      </c>
      <c r="N52" s="54">
        <f>2000*SQRT(((K52/1000)/(1000*4.2*(I52-J52)*PI()*'Global Variables'!$C$7)))</f>
        <v>5.4931490146665523</v>
      </c>
      <c r="O52" s="52">
        <v>378</v>
      </c>
      <c r="P52" s="52">
        <v>5651</v>
      </c>
      <c r="Q52" s="52">
        <v>0.48899999999999999</v>
      </c>
      <c r="R52" s="52">
        <v>5607</v>
      </c>
      <c r="S52" s="52">
        <v>9933</v>
      </c>
      <c r="T52" s="52">
        <v>1.51</v>
      </c>
      <c r="U52" s="52">
        <v>12</v>
      </c>
      <c r="V52" s="54">
        <f t="shared" ref="V52:V63" si="19">2*U52*O52/1000</f>
        <v>9.0719999999999992</v>
      </c>
      <c r="W52" s="54">
        <f t="shared" ref="W52:W63" si="20">2*U52*R52/1000</f>
        <v>134.56800000000001</v>
      </c>
      <c r="X52" s="55">
        <f>((L52*60/1000)*1000*9.81*(V52/10)/(3600))/'Global Variables'!$C$8</f>
        <v>0.35152275298103175</v>
      </c>
      <c r="Y52" s="54">
        <f>X52*'Global Variables'!$C$9/1000</f>
        <v>1.0545682589430954</v>
      </c>
    </row>
    <row r="53" spans="2:25" s="52" customFormat="1" x14ac:dyDescent="0.2">
      <c r="B53" s="51" t="s">
        <v>31</v>
      </c>
      <c r="C53" s="52" t="s">
        <v>7</v>
      </c>
      <c r="D53" s="52" t="s">
        <v>19</v>
      </c>
      <c r="E53" s="52">
        <v>2748</v>
      </c>
      <c r="F53" s="52">
        <v>11</v>
      </c>
      <c r="G53" s="52">
        <v>68</v>
      </c>
      <c r="I53" s="52">
        <v>35</v>
      </c>
      <c r="J53" s="52">
        <v>30</v>
      </c>
      <c r="K53" s="53">
        <f>E53*((I53-J53)/(LN((I53-'Global Variables'!$C$3)/(J53-'Global Variables'!$C$3)))*1/49.32)^'Global Variables'!$C$4</f>
        <v>434.85855219848173</v>
      </c>
      <c r="L53" s="54">
        <f t="shared" si="18"/>
        <v>1.2424530062813763</v>
      </c>
      <c r="M53" s="64">
        <f t="shared" si="1"/>
        <v>7.4547180376882585E-2</v>
      </c>
      <c r="N53" s="54">
        <f>2000*SQRT(((K53/1000)/(1000*4.2*(I53-J53)*PI()*'Global Variables'!$C$7)))</f>
        <v>5.1347513735209782</v>
      </c>
      <c r="O53" s="52">
        <v>298</v>
      </c>
      <c r="P53" s="52">
        <v>4922</v>
      </c>
      <c r="Q53" s="52">
        <v>0.42599999999999999</v>
      </c>
      <c r="R53" s="52">
        <v>4393</v>
      </c>
      <c r="S53" s="52">
        <v>8651</v>
      </c>
      <c r="T53" s="52">
        <v>1.3149999999999999</v>
      </c>
      <c r="U53" s="52">
        <v>10</v>
      </c>
      <c r="V53" s="54">
        <f t="shared" si="19"/>
        <v>5.96</v>
      </c>
      <c r="W53" s="54">
        <f t="shared" si="20"/>
        <v>87.86</v>
      </c>
      <c r="X53" s="55">
        <f>((L53*60/1000)*1000*9.81*(V53/10)/(3600))/'Global Variables'!$C$8</f>
        <v>0.20178679275015837</v>
      </c>
      <c r="Y53" s="54">
        <f>X53*'Global Variables'!$C$9/1000</f>
        <v>0.60536037825047517</v>
      </c>
    </row>
    <row r="54" spans="2:25" s="52" customFormat="1" x14ac:dyDescent="0.2">
      <c r="B54" s="51" t="s">
        <v>30</v>
      </c>
      <c r="C54" s="52" t="s">
        <v>8</v>
      </c>
      <c r="D54" s="56" t="s">
        <v>20</v>
      </c>
      <c r="E54" s="52">
        <v>3141</v>
      </c>
      <c r="F54" s="52">
        <v>11</v>
      </c>
      <c r="G54" s="52">
        <v>57.3</v>
      </c>
      <c r="I54" s="52">
        <v>35</v>
      </c>
      <c r="J54" s="52">
        <v>30</v>
      </c>
      <c r="K54" s="53">
        <f>E54*((I54-J54)/(LN((I54-'Global Variables'!$C$3)/(J54-'Global Variables'!$C$3)))*1/49.32)^'Global Variables'!$C$4</f>
        <v>497.04902199979296</v>
      </c>
      <c r="L54" s="54">
        <f t="shared" si="18"/>
        <v>1.4201400628565513</v>
      </c>
      <c r="M54" s="64">
        <f t="shared" si="1"/>
        <v>8.5208403771393076E-2</v>
      </c>
      <c r="N54" s="54">
        <f>2000*SQRT(((K54/1000)/(1000*4.2*(I54-J54)*PI()*'Global Variables'!$C$7)))</f>
        <v>5.4896546447107228</v>
      </c>
      <c r="O54" s="52">
        <v>378</v>
      </c>
      <c r="P54" s="52">
        <v>5651</v>
      </c>
      <c r="Q54" s="52">
        <v>0.48899999999999999</v>
      </c>
      <c r="R54" s="52">
        <v>5607</v>
      </c>
      <c r="S54" s="52">
        <v>9933</v>
      </c>
      <c r="T54" s="52">
        <v>1.51</v>
      </c>
      <c r="U54" s="52">
        <v>6</v>
      </c>
      <c r="V54" s="54">
        <f t="shared" si="19"/>
        <v>4.5359999999999996</v>
      </c>
      <c r="W54" s="54">
        <f t="shared" si="20"/>
        <v>67.284000000000006</v>
      </c>
      <c r="X54" s="55">
        <f>((L54*60/1000)*1000*9.81*(V54/10)/(3600))/'Global Variables'!$C$8</f>
        <v>0.17553783260944686</v>
      </c>
      <c r="Y54" s="54">
        <f>X54*'Global Variables'!$C$9/1000</f>
        <v>0.52661349782834055</v>
      </c>
    </row>
    <row r="55" spans="2:25" s="46" customFormat="1" x14ac:dyDescent="0.2">
      <c r="B55" s="45" t="s">
        <v>29</v>
      </c>
      <c r="C55" s="46" t="s">
        <v>9</v>
      </c>
      <c r="D55" s="47" t="s">
        <v>18</v>
      </c>
      <c r="E55" s="46">
        <v>0</v>
      </c>
      <c r="F55" s="46">
        <v>0</v>
      </c>
      <c r="G55" s="46">
        <v>50.3</v>
      </c>
      <c r="I55" s="46">
        <v>35</v>
      </c>
      <c r="J55" s="46">
        <v>30</v>
      </c>
      <c r="K55" s="48">
        <f>E55*((I55-J55)/(LN((I55-'Global Variables'!$C$3)/(J55-'Global Variables'!$C$3)))*1/49.32)^'Global Variables'!$C$4</f>
        <v>0</v>
      </c>
      <c r="L55" s="49">
        <f t="shared" si="18"/>
        <v>0</v>
      </c>
      <c r="M55" s="63">
        <f t="shared" si="1"/>
        <v>0</v>
      </c>
      <c r="N55" s="49">
        <f>2000*SQRT(((K55/1000)/(1000*4.2*(I55-J55)*PI()*'Global Variables'!$C$7)))</f>
        <v>0</v>
      </c>
      <c r="O55" s="46">
        <v>298</v>
      </c>
      <c r="P55" s="46">
        <v>4922</v>
      </c>
      <c r="Q55" s="46">
        <v>0.42599999999999999</v>
      </c>
      <c r="R55" s="46">
        <v>4393</v>
      </c>
      <c r="S55" s="46">
        <v>8651</v>
      </c>
      <c r="T55" s="46">
        <v>1.3149999999999999</v>
      </c>
      <c r="U55" s="46">
        <v>15</v>
      </c>
      <c r="V55" s="49">
        <f t="shared" si="19"/>
        <v>8.94</v>
      </c>
      <c r="W55" s="49">
        <f t="shared" si="20"/>
        <v>131.79</v>
      </c>
      <c r="X55" s="50">
        <f>((L55*60/1000)*1000*9.81*(V55/10)/(3600))/'Global Variables'!$C$8</f>
        <v>0</v>
      </c>
      <c r="Y55" s="49">
        <f>X55*'Global Variables'!$C$9/1000</f>
        <v>0</v>
      </c>
    </row>
    <row r="56" spans="2:25" s="46" customFormat="1" x14ac:dyDescent="0.2">
      <c r="B56" s="45" t="s">
        <v>30</v>
      </c>
      <c r="C56" s="46" t="s">
        <v>10</v>
      </c>
      <c r="D56" s="47" t="s">
        <v>20</v>
      </c>
      <c r="E56" s="46">
        <v>0</v>
      </c>
      <c r="F56" s="46">
        <v>0</v>
      </c>
      <c r="G56" s="46">
        <v>57.3</v>
      </c>
      <c r="I56" s="46">
        <v>35</v>
      </c>
      <c r="J56" s="46">
        <v>30</v>
      </c>
      <c r="K56" s="48">
        <f>E56*((I56-J56)/(LN((I56-'Global Variables'!$C$3)/(J56-'Global Variables'!$C$3)))*1/49.32)^'Global Variables'!$C$4</f>
        <v>0</v>
      </c>
      <c r="L56" s="49">
        <f t="shared" si="18"/>
        <v>0</v>
      </c>
      <c r="M56" s="63">
        <f t="shared" si="1"/>
        <v>0</v>
      </c>
      <c r="N56" s="49">
        <f>2000*SQRT(((K56/1000)/(1000*4.2*(I56-J56)*PI()*'Global Variables'!$C$7)))</f>
        <v>0</v>
      </c>
      <c r="O56" s="46">
        <v>378</v>
      </c>
      <c r="P56" s="46">
        <v>5651</v>
      </c>
      <c r="Q56" s="46">
        <v>0.48899999999999999</v>
      </c>
      <c r="R56" s="46">
        <v>5607</v>
      </c>
      <c r="S56" s="46">
        <v>9933</v>
      </c>
      <c r="T56" s="46">
        <v>1.51</v>
      </c>
      <c r="U56" s="46">
        <v>15</v>
      </c>
      <c r="V56" s="49">
        <f t="shared" si="19"/>
        <v>11.34</v>
      </c>
      <c r="W56" s="49">
        <f t="shared" si="20"/>
        <v>168.21</v>
      </c>
      <c r="X56" s="50">
        <f>((L56*60/1000)*1000*9.81*(V56/10)/(3600))/'Global Variables'!$C$8</f>
        <v>0</v>
      </c>
      <c r="Y56" s="49">
        <f>X56*'Global Variables'!$C$9/1000</f>
        <v>0</v>
      </c>
    </row>
    <row r="57" spans="2:25" s="52" customFormat="1" x14ac:dyDescent="0.2">
      <c r="B57" s="51" t="s">
        <v>29</v>
      </c>
      <c r="C57" s="52" t="s">
        <v>11</v>
      </c>
      <c r="D57" s="56" t="s">
        <v>18</v>
      </c>
      <c r="E57" s="52">
        <v>2748</v>
      </c>
      <c r="F57" s="52">
        <v>9.6999999999999993</v>
      </c>
      <c r="G57" s="52">
        <v>50.3</v>
      </c>
      <c r="I57" s="52">
        <v>35</v>
      </c>
      <c r="J57" s="52">
        <v>30</v>
      </c>
      <c r="K57" s="53">
        <f>E57*((I57-J57)/(LN((I57-'Global Variables'!$C$3)/(J57-'Global Variables'!$C$3)))*1/49.32)^'Global Variables'!$C$4</f>
        <v>434.85855219848173</v>
      </c>
      <c r="L57" s="54">
        <f t="shared" si="18"/>
        <v>1.2424530062813763</v>
      </c>
      <c r="M57" s="64">
        <f t="shared" si="1"/>
        <v>7.4547180376882585E-2</v>
      </c>
      <c r="N57" s="54">
        <f>2000*SQRT(((K57/1000)/(1000*4.2*(I57-J57)*PI()*'Global Variables'!$C$7)))</f>
        <v>5.1347513735209782</v>
      </c>
      <c r="O57" s="52">
        <v>298</v>
      </c>
      <c r="P57" s="52">
        <v>4922</v>
      </c>
      <c r="Q57" s="52">
        <v>0.42599999999999999</v>
      </c>
      <c r="R57" s="52">
        <v>4393</v>
      </c>
      <c r="S57" s="52">
        <v>8651</v>
      </c>
      <c r="T57" s="52">
        <v>1.3149999999999999</v>
      </c>
      <c r="U57" s="52">
        <v>12</v>
      </c>
      <c r="V57" s="54">
        <f t="shared" si="19"/>
        <v>7.1520000000000001</v>
      </c>
      <c r="W57" s="54">
        <f t="shared" si="20"/>
        <v>105.432</v>
      </c>
      <c r="X57" s="55">
        <f>((L57*60/1000)*1000*9.81*(V57/10)/(3600))/'Global Variables'!$C$8</f>
        <v>0.2421441513001901</v>
      </c>
      <c r="Y57" s="54">
        <f>X57*'Global Variables'!$C$9/1000</f>
        <v>0.72643245390057032</v>
      </c>
    </row>
    <row r="58" spans="2:25" s="52" customFormat="1" x14ac:dyDescent="0.2">
      <c r="B58" s="51" t="s">
        <v>29</v>
      </c>
      <c r="C58" s="52" t="s">
        <v>12</v>
      </c>
      <c r="D58" s="56" t="s">
        <v>18</v>
      </c>
      <c r="E58" s="52">
        <v>2748</v>
      </c>
      <c r="F58" s="52">
        <v>9.6999999999999993</v>
      </c>
      <c r="G58" s="52">
        <v>50.3</v>
      </c>
      <c r="I58" s="52">
        <v>35</v>
      </c>
      <c r="J58" s="52">
        <v>30</v>
      </c>
      <c r="K58" s="53">
        <f>E58*((I58-J58)/(LN((I58-'Global Variables'!$C$3)/(J58-'Global Variables'!$C$3)))*1/49.32)^'Global Variables'!$C$4</f>
        <v>434.85855219848173</v>
      </c>
      <c r="L58" s="54">
        <f t="shared" si="18"/>
        <v>1.2424530062813763</v>
      </c>
      <c r="M58" s="64">
        <f t="shared" si="1"/>
        <v>7.4547180376882585E-2</v>
      </c>
      <c r="N58" s="54">
        <f>2000*SQRT(((K58/1000)/(1000*4.2*(I58-J58)*PI()*'Global Variables'!$C$7)))</f>
        <v>5.1347513735209782</v>
      </c>
      <c r="O58" s="52">
        <v>298</v>
      </c>
      <c r="P58" s="52">
        <v>4922</v>
      </c>
      <c r="Q58" s="52">
        <v>0.42599999999999999</v>
      </c>
      <c r="R58" s="52">
        <v>4393</v>
      </c>
      <c r="S58" s="52">
        <v>8651</v>
      </c>
      <c r="T58" s="52">
        <v>1.3149999999999999</v>
      </c>
      <c r="U58" s="52">
        <v>12</v>
      </c>
      <c r="V58" s="54">
        <f t="shared" si="19"/>
        <v>7.1520000000000001</v>
      </c>
      <c r="W58" s="54">
        <f t="shared" si="20"/>
        <v>105.432</v>
      </c>
      <c r="X58" s="55">
        <f>((L58*60/1000)*1000*9.81*(V58/10)/(3600))/'Global Variables'!$C$8</f>
        <v>0.2421441513001901</v>
      </c>
      <c r="Y58" s="54">
        <f>X58*'Global Variables'!$C$9/1000</f>
        <v>0.72643245390057032</v>
      </c>
    </row>
    <row r="59" spans="2:25" s="46" customFormat="1" x14ac:dyDescent="0.2">
      <c r="B59" s="45" t="s">
        <v>37</v>
      </c>
      <c r="C59" s="46" t="s">
        <v>13</v>
      </c>
      <c r="D59" s="47" t="s">
        <v>21</v>
      </c>
      <c r="E59" s="46">
        <v>0</v>
      </c>
      <c r="F59" s="46">
        <v>0</v>
      </c>
      <c r="G59" s="46">
        <v>26.6</v>
      </c>
      <c r="I59" s="46">
        <v>35</v>
      </c>
      <c r="J59" s="46">
        <v>30</v>
      </c>
      <c r="K59" s="48">
        <f>E59*((I59-J59)/(LN((I59-'Global Variables'!$C$3)/(J59-'Global Variables'!$C$3)))*1/49.32)^'Global Variables'!$C$4</f>
        <v>0</v>
      </c>
      <c r="L59" s="49">
        <f t="shared" si="18"/>
        <v>0</v>
      </c>
      <c r="M59" s="63">
        <f t="shared" si="1"/>
        <v>0</v>
      </c>
      <c r="N59" s="49">
        <f>2000*SQRT(((K59/1000)/(1000*4.2*(I59-J59)*PI()*'Global Variables'!$C$7)))</f>
        <v>0</v>
      </c>
      <c r="O59" s="46">
        <v>109</v>
      </c>
      <c r="P59" s="46">
        <v>2734</v>
      </c>
      <c r="Q59" s="46">
        <v>0.23599999999999999</v>
      </c>
      <c r="R59" s="46">
        <v>1955</v>
      </c>
      <c r="S59" s="46">
        <v>5447</v>
      </c>
      <c r="T59" s="46">
        <v>0.82799999999999996</v>
      </c>
      <c r="U59" s="46">
        <v>20</v>
      </c>
      <c r="V59" s="49">
        <f t="shared" si="19"/>
        <v>4.3600000000000003</v>
      </c>
      <c r="W59" s="49">
        <f t="shared" si="20"/>
        <v>78.2</v>
      </c>
      <c r="X59" s="50">
        <f>((L59*60/1000)*1000*9.81*(V59/10)/(3600))/'Global Variables'!$C$8</f>
        <v>0</v>
      </c>
      <c r="Y59" s="49">
        <f>X59*'Global Variables'!$C$9/1000</f>
        <v>0</v>
      </c>
    </row>
    <row r="60" spans="2:25" s="46" customFormat="1" x14ac:dyDescent="0.2">
      <c r="B60" s="45" t="s">
        <v>32</v>
      </c>
      <c r="C60" s="46" t="s">
        <v>14</v>
      </c>
      <c r="D60" s="47" t="s">
        <v>22</v>
      </c>
      <c r="E60" s="46">
        <v>0</v>
      </c>
      <c r="F60" s="46">
        <v>0</v>
      </c>
      <c r="G60" s="46">
        <v>9</v>
      </c>
      <c r="I60" s="46">
        <v>35</v>
      </c>
      <c r="J60" s="46">
        <v>30</v>
      </c>
      <c r="K60" s="48">
        <f>E60*((I60-J60)/(LN((I60-'Global Variables'!$C$3)/(J60-'Global Variables'!$C$3)))*1/49.32)^'Global Variables'!$C$4</f>
        <v>0</v>
      </c>
      <c r="L60" s="49">
        <f>60*K60/(4200*(I60-J60))</f>
        <v>0</v>
      </c>
      <c r="M60" s="63">
        <f t="shared" si="1"/>
        <v>0</v>
      </c>
      <c r="N60" s="49">
        <f>2000*SQRT(((K60/1000)/(1000*4.2*(I60-J60)*PI()*'Global Variables'!$C$7)))</f>
        <v>0</v>
      </c>
      <c r="O60" s="46">
        <v>26</v>
      </c>
      <c r="P60" s="46">
        <v>1276</v>
      </c>
      <c r="Q60" s="46">
        <v>0.11</v>
      </c>
      <c r="R60" s="46">
        <v>250</v>
      </c>
      <c r="S60" s="46">
        <v>2243</v>
      </c>
      <c r="T60" s="46">
        <v>0.34100000000000003</v>
      </c>
      <c r="U60" s="46">
        <v>3</v>
      </c>
      <c r="V60" s="49">
        <f t="shared" si="19"/>
        <v>0.156</v>
      </c>
      <c r="W60" s="49">
        <f t="shared" si="20"/>
        <v>1.5</v>
      </c>
      <c r="X60" s="50">
        <f>((L60*60/1000)*1000*9.81*(V60/10)/(3600))/'Global Variables'!$C$8</f>
        <v>0</v>
      </c>
      <c r="Y60" s="49">
        <f>X60*'Global Variables'!$C$9/1000</f>
        <v>0</v>
      </c>
    </row>
    <row r="61" spans="2:25" s="46" customFormat="1" x14ac:dyDescent="0.2">
      <c r="C61" s="46" t="s">
        <v>15</v>
      </c>
      <c r="D61" s="47" t="s">
        <v>24</v>
      </c>
      <c r="E61" s="46">
        <v>0</v>
      </c>
      <c r="H61" s="46">
        <v>2.5</v>
      </c>
      <c r="I61" s="46">
        <v>35</v>
      </c>
      <c r="J61" s="46">
        <v>22</v>
      </c>
      <c r="K61" s="48">
        <v>0</v>
      </c>
      <c r="L61" s="49">
        <f>60*K61/(4200*(I61-J61))</f>
        <v>0</v>
      </c>
      <c r="M61" s="63">
        <f t="shared" si="1"/>
        <v>0</v>
      </c>
      <c r="N61" s="49">
        <f>2000*SQRT(((K61/1000)/(1000*4.2*(I61-J61)*PI()*'Global Variables'!$C$7)))</f>
        <v>0</v>
      </c>
      <c r="O61" s="46">
        <v>4</v>
      </c>
      <c r="P61" s="46">
        <v>182</v>
      </c>
      <c r="Q61" s="46">
        <v>1.6E-2</v>
      </c>
      <c r="R61" s="46">
        <v>35</v>
      </c>
      <c r="S61" s="46">
        <v>320</v>
      </c>
      <c r="T61" s="46">
        <v>4.9000000000000002E-2</v>
      </c>
      <c r="U61" s="46">
        <v>30</v>
      </c>
      <c r="V61" s="49">
        <f t="shared" si="19"/>
        <v>0.24</v>
      </c>
      <c r="W61" s="49">
        <f t="shared" si="20"/>
        <v>2.1</v>
      </c>
      <c r="X61" s="50">
        <f>((L61*60/1000)*1000*9.81*(W61/10)/(3600))/'Global Variables'!$C$8</f>
        <v>0</v>
      </c>
      <c r="Y61" s="49">
        <f>X61*'Global Variables'!$C$9/1000</f>
        <v>0</v>
      </c>
    </row>
    <row r="62" spans="2:25" s="46" customFormat="1" x14ac:dyDescent="0.2">
      <c r="B62" s="45" t="s">
        <v>33</v>
      </c>
      <c r="C62" s="46" t="s">
        <v>16</v>
      </c>
      <c r="D62" s="47" t="s">
        <v>23</v>
      </c>
      <c r="E62" s="46">
        <v>0</v>
      </c>
      <c r="F62" s="46">
        <v>0</v>
      </c>
      <c r="G62" s="46">
        <v>27</v>
      </c>
      <c r="I62" s="46">
        <v>35</v>
      </c>
      <c r="J62" s="46">
        <v>30</v>
      </c>
      <c r="K62" s="48">
        <f>E62*((I62-J62)/(LN((I62-'Global Variables'!$C$3)/(J62-'Global Variables'!$C$3)))*1/49.32)^'Global Variables'!$C$4</f>
        <v>0</v>
      </c>
      <c r="L62" s="49">
        <f>60*K62/(4200*(I62-J62))</f>
        <v>0</v>
      </c>
      <c r="M62" s="63">
        <f t="shared" si="1"/>
        <v>0</v>
      </c>
      <c r="N62" s="49">
        <f>2000*SQRT(((K62/1000)/(1000*4.2*(I62-J62)*PI()*'Global Variables'!$C$7)))</f>
        <v>0</v>
      </c>
      <c r="O62" s="46">
        <v>41</v>
      </c>
      <c r="P62" s="46">
        <v>2005</v>
      </c>
      <c r="Q62" s="46">
        <v>0.17299999999999999</v>
      </c>
      <c r="R62" s="46">
        <v>921</v>
      </c>
      <c r="S62" s="46">
        <v>3524</v>
      </c>
      <c r="T62" s="46">
        <v>0.53600000000000003</v>
      </c>
      <c r="U62" s="46">
        <v>3</v>
      </c>
      <c r="V62" s="49">
        <f t="shared" si="19"/>
        <v>0.246</v>
      </c>
      <c r="W62" s="49">
        <f t="shared" si="20"/>
        <v>5.5259999999999998</v>
      </c>
      <c r="X62" s="50">
        <f>((L62*60/1000)*1000*9.81*(V62/10)/(3600))/'Global Variables'!$C$8</f>
        <v>0</v>
      </c>
      <c r="Y62" s="49">
        <f>X62*'Global Variables'!$C$9/1000</f>
        <v>0</v>
      </c>
    </row>
    <row r="63" spans="2:25" s="46" customFormat="1" x14ac:dyDescent="0.2">
      <c r="C63" s="46" t="s">
        <v>17</v>
      </c>
      <c r="D63" s="47" t="s">
        <v>25</v>
      </c>
      <c r="E63" s="46">
        <v>0</v>
      </c>
      <c r="H63" s="46">
        <v>4</v>
      </c>
      <c r="I63" s="46">
        <v>35</v>
      </c>
      <c r="J63" s="46">
        <v>22</v>
      </c>
      <c r="K63" s="48">
        <v>0</v>
      </c>
      <c r="L63" s="49">
        <f>60*K63/(4200*(I63-J63))</f>
        <v>0</v>
      </c>
      <c r="M63" s="63">
        <f t="shared" si="1"/>
        <v>0</v>
      </c>
      <c r="N63" s="49">
        <f>2000*SQRT(((K63/1000)/(1000*4.2*(I63-J63)*PI()*'Global Variables'!$C$7)))</f>
        <v>0</v>
      </c>
      <c r="O63" s="46">
        <v>4</v>
      </c>
      <c r="P63" s="46">
        <v>182</v>
      </c>
      <c r="Q63" s="46">
        <v>1.6E-2</v>
      </c>
      <c r="R63" s="46">
        <v>35</v>
      </c>
      <c r="S63" s="46">
        <v>320</v>
      </c>
      <c r="T63" s="46">
        <v>4.9000000000000002E-2</v>
      </c>
      <c r="U63" s="46">
        <v>30</v>
      </c>
      <c r="V63" s="49">
        <f t="shared" si="19"/>
        <v>0.24</v>
      </c>
      <c r="W63" s="49">
        <f t="shared" si="20"/>
        <v>2.1</v>
      </c>
      <c r="X63" s="50">
        <f>((L63*60/1000)*1000*9.81*(W63/10)/(3600))/'Global Variables'!$C$8</f>
        <v>0</v>
      </c>
      <c r="Y63" s="49">
        <f>X63*'Global Variables'!$C$9/1000</f>
        <v>0</v>
      </c>
    </row>
    <row r="64" spans="2:25" s="52" customFormat="1" x14ac:dyDescent="0.2">
      <c r="K64" s="53"/>
      <c r="L64" s="54"/>
      <c r="M64" s="64"/>
      <c r="N64" s="54"/>
    </row>
    <row r="65" spans="3:25" s="52" customFormat="1" x14ac:dyDescent="0.2">
      <c r="C65" s="57" t="s">
        <v>47</v>
      </c>
      <c r="E65" s="58">
        <f>SUM(E51:E63)</f>
        <v>17278</v>
      </c>
      <c r="F65" s="53">
        <f t="shared" ref="F65:H65" si="21">SUM(F51:F63)</f>
        <v>60.8</v>
      </c>
      <c r="G65" s="53">
        <f t="shared" si="21"/>
        <v>496.70000000000005</v>
      </c>
      <c r="H65" s="52">
        <f t="shared" si="21"/>
        <v>6.5</v>
      </c>
      <c r="K65" s="53">
        <f t="shared" ref="K65:L65" si="22">SUM(K51:K63)</f>
        <v>2734.1652346744427</v>
      </c>
      <c r="L65" s="54">
        <f t="shared" si="22"/>
        <v>7.8119006704984066</v>
      </c>
      <c r="M65" s="64">
        <f t="shared" si="1"/>
        <v>0.46871404022990443</v>
      </c>
      <c r="N65" s="54"/>
      <c r="X65" s="54">
        <f t="shared" ref="X65:Y65" si="23">SUM(X51:X63)</f>
        <v>1.4552798322412073</v>
      </c>
      <c r="Y65" s="54">
        <f t="shared" si="23"/>
        <v>4.3658394967236216</v>
      </c>
    </row>
  </sheetData>
  <mergeCells count="1">
    <mergeCell ref="O1:T1"/>
  </mergeCells>
  <conditionalFormatting sqref="N3:N15">
    <cfRule type="cellIs" dxfId="66" priority="51" operator="between">
      <formula>6</formula>
      <formula>11.5</formula>
    </cfRule>
    <cfRule type="cellIs" dxfId="65" priority="52" operator="lessThan">
      <formula>6</formula>
    </cfRule>
  </conditionalFormatting>
  <conditionalFormatting sqref="N19:N31">
    <cfRule type="cellIs" dxfId="64" priority="35" operator="between">
      <formula>6</formula>
      <formula>11.5</formula>
    </cfRule>
    <cfRule type="cellIs" dxfId="63" priority="36" operator="lessThan">
      <formula>6</formula>
    </cfRule>
  </conditionalFormatting>
  <conditionalFormatting sqref="N35:N47">
    <cfRule type="cellIs" dxfId="62" priority="23" operator="between">
      <formula>6</formula>
      <formula>11.5</formula>
    </cfRule>
    <cfRule type="cellIs" dxfId="61" priority="24" operator="lessThan">
      <formula>6</formula>
    </cfRule>
  </conditionalFormatting>
  <conditionalFormatting sqref="N51:N63">
    <cfRule type="cellIs" dxfId="60" priority="11" operator="between">
      <formula>6</formula>
      <formula>11.5</formula>
    </cfRule>
    <cfRule type="cellIs" dxfId="59" priority="12" operator="lessThan">
      <formula>6</formula>
    </cfRule>
  </conditionalFormatting>
  <conditionalFormatting sqref="P3:P15">
    <cfRule type="cellIs" dxfId="58" priority="49" operator="greaterThan">
      <formula>2500</formula>
    </cfRule>
    <cfRule type="cellIs" dxfId="57" priority="50" operator="lessThan">
      <formula>2500</formula>
    </cfRule>
  </conditionalFormatting>
  <conditionalFormatting sqref="P19:P31">
    <cfRule type="cellIs" dxfId="56" priority="33" operator="greaterThan">
      <formula>2500</formula>
    </cfRule>
    <cfRule type="cellIs" dxfId="55" priority="34" operator="lessThan">
      <formula>2500</formula>
    </cfRule>
  </conditionalFormatting>
  <conditionalFormatting sqref="P35:P47">
    <cfRule type="cellIs" dxfId="54" priority="21" operator="greaterThan">
      <formula>2500</formula>
    </cfRule>
    <cfRule type="cellIs" dxfId="53" priority="22" operator="lessThan">
      <formula>2500</formula>
    </cfRule>
  </conditionalFormatting>
  <conditionalFormatting sqref="P51:P63">
    <cfRule type="cellIs" dxfId="52" priority="9" operator="greaterThan">
      <formula>2500</formula>
    </cfRule>
    <cfRule type="cellIs" dxfId="51" priority="10" operator="lessThan">
      <formula>2500</formula>
    </cfRule>
  </conditionalFormatting>
  <conditionalFormatting sqref="Q3:Q15">
    <cfRule type="cellIs" dxfId="50" priority="40" operator="between">
      <formula>1</formula>
      <formula>2</formula>
    </cfRule>
    <cfRule type="cellIs" dxfId="49" priority="41" operator="greaterThan">
      <formula>2</formula>
    </cfRule>
    <cfRule type="cellIs" dxfId="48" priority="42" operator="lessThan">
      <formula>1.2</formula>
    </cfRule>
  </conditionalFormatting>
  <conditionalFormatting sqref="Q19:Q31">
    <cfRule type="cellIs" dxfId="47" priority="28" operator="between">
      <formula>1</formula>
      <formula>2</formula>
    </cfRule>
    <cfRule type="cellIs" dxfId="46" priority="29" operator="greaterThan">
      <formula>2</formula>
    </cfRule>
    <cfRule type="cellIs" dxfId="45" priority="30" operator="lessThan">
      <formula>1.2</formula>
    </cfRule>
  </conditionalFormatting>
  <conditionalFormatting sqref="Q35:Q47">
    <cfRule type="cellIs" dxfId="44" priority="16" operator="between">
      <formula>1</formula>
      <formula>2</formula>
    </cfRule>
    <cfRule type="cellIs" dxfId="43" priority="17" operator="greaterThan">
      <formula>2</formula>
    </cfRule>
    <cfRule type="cellIs" dxfId="42" priority="18" operator="lessThan">
      <formula>1.2</formula>
    </cfRule>
  </conditionalFormatting>
  <conditionalFormatting sqref="Q51:Q63">
    <cfRule type="cellIs" dxfId="41" priority="4" operator="between">
      <formula>1</formula>
      <formula>2</formula>
    </cfRule>
    <cfRule type="cellIs" dxfId="40" priority="5" operator="greaterThan">
      <formula>2</formula>
    </cfRule>
    <cfRule type="cellIs" dxfId="39" priority="6" operator="lessThan">
      <formula>1.2</formula>
    </cfRule>
  </conditionalFormatting>
  <conditionalFormatting sqref="S3:S15">
    <cfRule type="cellIs" dxfId="38" priority="43" operator="greaterThan">
      <formula>2500</formula>
    </cfRule>
    <cfRule type="cellIs" dxfId="37" priority="44" operator="lessThan">
      <formula>2500</formula>
    </cfRule>
  </conditionalFormatting>
  <conditionalFormatting sqref="S19:S31">
    <cfRule type="cellIs" dxfId="36" priority="31" operator="greaterThan">
      <formula>2500</formula>
    </cfRule>
    <cfRule type="cellIs" dxfId="35" priority="32" operator="lessThan">
      <formula>2500</formula>
    </cfRule>
  </conditionalFormatting>
  <conditionalFormatting sqref="S35:S47">
    <cfRule type="cellIs" dxfId="34" priority="19" operator="greaterThan">
      <formula>2500</formula>
    </cfRule>
    <cfRule type="cellIs" dxfId="33" priority="20" operator="lessThan">
      <formula>2500</formula>
    </cfRule>
  </conditionalFormatting>
  <conditionalFormatting sqref="S51:S63">
    <cfRule type="cellIs" dxfId="32" priority="7" operator="greaterThan">
      <formula>2500</formula>
    </cfRule>
    <cfRule type="cellIs" dxfId="31" priority="8" operator="lessThan">
      <formula>2500</formula>
    </cfRule>
  </conditionalFormatting>
  <conditionalFormatting sqref="T3:T15">
    <cfRule type="cellIs" dxfId="30" priority="37" operator="between">
      <formula>1</formula>
      <formula>2</formula>
    </cfRule>
    <cfRule type="cellIs" dxfId="29" priority="38" operator="greaterThan">
      <formula>2</formula>
    </cfRule>
    <cfRule type="cellIs" dxfId="28" priority="39" operator="lessThan">
      <formula>1.2</formula>
    </cfRule>
  </conditionalFormatting>
  <conditionalFormatting sqref="T19:T31">
    <cfRule type="cellIs" dxfId="27" priority="25" operator="between">
      <formula>1</formula>
      <formula>2</formula>
    </cfRule>
    <cfRule type="cellIs" dxfId="26" priority="26" operator="greaterThan">
      <formula>2</formula>
    </cfRule>
    <cfRule type="cellIs" dxfId="25" priority="27" operator="lessThan">
      <formula>1.2</formula>
    </cfRule>
  </conditionalFormatting>
  <conditionalFormatting sqref="T35:T47">
    <cfRule type="cellIs" dxfId="24" priority="13" operator="between">
      <formula>1</formula>
      <formula>2</formula>
    </cfRule>
    <cfRule type="cellIs" dxfId="23" priority="14" operator="greaterThan">
      <formula>2</formula>
    </cfRule>
    <cfRule type="cellIs" dxfId="22" priority="15" operator="lessThan">
      <formula>1.2</formula>
    </cfRule>
  </conditionalFormatting>
  <conditionalFormatting sqref="T51:T63">
    <cfRule type="cellIs" dxfId="21" priority="1" operator="between">
      <formula>1</formula>
      <formula>2</formula>
    </cfRule>
    <cfRule type="cellIs" dxfId="20" priority="2" operator="greaterThan">
      <formula>2</formula>
    </cfRule>
    <cfRule type="cellIs" dxfId="19" priority="3" operator="lessThan">
      <formula>1.2</formula>
    </cfRule>
  </conditionalFormatting>
  <hyperlinks>
    <hyperlink ref="B6" r:id="rId1" xr:uid="{29F1E045-6AC6-D54F-AD3A-1D4E035662C3}"/>
    <hyperlink ref="B5" r:id="rId2" location="fo_c=2832&amp;fo_k=1a519e7bf9563a6b02c4dc822e1516f6&amp;fo_s=gplauk" display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#fo_c=2832&amp;fo_k=1a519e7bf9563a6b02c4dc822e1516f6&amp;fo_s=gplauk" xr:uid="{8B59C3EF-9895-D644-8875-87181F51C5EC}"/>
    <hyperlink ref="B3" r:id="rId3" xr:uid="{F109924C-BBF5-7B4C-8B3F-EBCFE28904BF}"/>
    <hyperlink ref="B4" r:id="rId4" xr:uid="{6CE68192-EC87-4F44-8D3C-0567E59F35AA}"/>
    <hyperlink ref="B14" r:id="rId5" xr:uid="{6DFD4EBA-7FD3-5940-BF4C-C17B8C81009A}"/>
    <hyperlink ref="B11" r:id="rId6" xr:uid="{FD9B7621-577E-3849-99FF-B4114B42E995}"/>
    <hyperlink ref="B12" r:id="rId7" xr:uid="{2155ED5A-BA57-4F43-9843-D7D2393EA556}"/>
    <hyperlink ref="B10" r:id="rId8" xr:uid="{839FE6F3-0137-D742-A36B-4E8A8B8835D8}"/>
    <hyperlink ref="B9" r:id="rId9" xr:uid="{C586AF76-3BCC-004A-ACC0-9DB82788390D}"/>
    <hyperlink ref="B7" r:id="rId10" xr:uid="{F72E7B2E-431F-7D45-A526-544D312E4094}"/>
    <hyperlink ref="B8" r:id="rId11" xr:uid="{A3F24991-8962-3B43-BCEF-1417F106F017}"/>
    <hyperlink ref="B22" r:id="rId12" xr:uid="{61268C88-BF39-F64A-B2B1-134CBC3CEA56}"/>
    <hyperlink ref="B21" r:id="rId13" location="fo_c=2832&amp;fo_k=1a519e7bf9563a6b02c4dc822e1516f6&amp;fo_s=gplauk" display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#fo_c=2832&amp;fo_k=1a519e7bf9563a6b02c4dc822e1516f6&amp;fo_s=gplauk" xr:uid="{AD98C97C-C27F-174F-94F2-05703FA6440C}"/>
    <hyperlink ref="B19" r:id="rId14" xr:uid="{4750F7FB-8FF9-F94F-85B5-AF18B256B3E5}"/>
    <hyperlink ref="B20" r:id="rId15" xr:uid="{BACADFA6-4CBC-4540-9299-C7385811D445}"/>
    <hyperlink ref="B30" r:id="rId16" xr:uid="{56FB63BB-65DF-6A40-937E-4E0AC7682EC9}"/>
    <hyperlink ref="B27" r:id="rId17" xr:uid="{8837B479-900A-B843-82C1-38E99370F5CE}"/>
    <hyperlink ref="B28" r:id="rId18" xr:uid="{D0E8F972-2EB2-4A4D-BF0B-F4142265E4CC}"/>
    <hyperlink ref="B26" r:id="rId19" xr:uid="{45D4050A-8BDF-4741-AB8C-B809F990C1C3}"/>
    <hyperlink ref="B25" r:id="rId20" xr:uid="{A9A1A432-2D24-1E49-B7F2-3E87C1CCC6AE}"/>
    <hyperlink ref="B23" r:id="rId21" xr:uid="{078003B7-C417-7345-882A-9B69AD5D1C57}"/>
    <hyperlink ref="B24" r:id="rId22" xr:uid="{494FA035-0D07-3D4F-9C56-FEED7EA0C1E9}"/>
    <hyperlink ref="B38" r:id="rId23" xr:uid="{7B740B93-3F2E-BB4F-80DA-8730CAAF8878}"/>
    <hyperlink ref="B37" r:id="rId24" location="fo_c=2832&amp;fo_k=1a519e7bf9563a6b02c4dc822e1516f6&amp;fo_s=gplauk" display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#fo_c=2832&amp;fo_k=1a519e7bf9563a6b02c4dc822e1516f6&amp;fo_s=gplauk" xr:uid="{E80E1328-4B50-8F49-8BBC-87FCF5ACBE2A}"/>
    <hyperlink ref="B35" r:id="rId25" xr:uid="{E9B32C9F-4E06-C246-8D21-4AE7E9A65106}"/>
    <hyperlink ref="B36" r:id="rId26" xr:uid="{9F402EA6-66DE-8844-95FB-DF8FECBB24BE}"/>
    <hyperlink ref="B46" r:id="rId27" xr:uid="{6B302026-7087-504B-8A6F-6945A8E360F2}"/>
    <hyperlink ref="B43" r:id="rId28" xr:uid="{6DCEA0F2-6D9A-9C4E-A08B-8BD866C315A1}"/>
    <hyperlink ref="B44" r:id="rId29" xr:uid="{D90E478E-F843-4A45-A133-01FBCFCBE3CB}"/>
    <hyperlink ref="B42" r:id="rId30" xr:uid="{7AAA58DF-3690-B94A-A736-F78BBA14134E}"/>
    <hyperlink ref="B41" r:id="rId31" xr:uid="{72A98DB0-AC61-2944-ACD7-9AC67E13563C}"/>
    <hyperlink ref="B39" r:id="rId32" xr:uid="{AB8301C4-9829-0549-8810-C5C5966CFBF7}"/>
    <hyperlink ref="B40" r:id="rId33" xr:uid="{58C29085-C4CC-4147-8F63-D19A0BA9C709}"/>
    <hyperlink ref="B54" r:id="rId34" xr:uid="{8958F0FD-33B2-4648-A528-62BA4A14824E}"/>
    <hyperlink ref="B53" r:id="rId35" location="fo_c=2832&amp;fo_k=1a519e7bf9563a6b02c4dc822e1516f6&amp;fo_s=gplauk" display="https://www.cityplumbing.co.uk/p/stelrad-halcyon-compact-k2-double-panel-double-convector-radiator-600-mm-x-1800-mm-422618/p/421486?lsft=adtype:pla,productchannel:online,storename:,product_id:421486&amp;gclid=CjwKCAiA3pugBhAwEiwAWFzwdVw2OUL70e5QddJ0NUKGofdIpHDrkM2th3eAt69ZQ2jXt6dXamiuGRoCYuoQAvD_BwE&amp;gclsrc=aw.ds#fo_c=2832&amp;fo_k=1a519e7bf9563a6b02c4dc822e1516f6&amp;fo_s=gplauk" xr:uid="{44F200C0-661C-C04E-A037-BD9C960D1B87}"/>
    <hyperlink ref="B51" r:id="rId36" xr:uid="{94503AC2-AA52-A44D-A5B7-1A9B45E6A250}"/>
    <hyperlink ref="B52" r:id="rId37" xr:uid="{736CF0A7-8586-944C-9D1E-A97E7F4F719E}"/>
    <hyperlink ref="B62" r:id="rId38" xr:uid="{06E0C89E-7D8F-AC4D-AE60-8D89BCEBA0C1}"/>
    <hyperlink ref="B59" r:id="rId39" xr:uid="{0C642498-01AE-7F4A-853F-148FC0037F94}"/>
    <hyperlink ref="B60" r:id="rId40" xr:uid="{ED2BACEE-A2C8-D744-BFBB-9AE69259422C}"/>
    <hyperlink ref="B58" r:id="rId41" xr:uid="{8678D7E4-8BDE-8D4F-80BC-733980A59E2C}"/>
    <hyperlink ref="B57" r:id="rId42" xr:uid="{6C9FD3C7-FC07-0E49-A8C0-678BF64CF573}"/>
    <hyperlink ref="B55" r:id="rId43" xr:uid="{C21DEA79-E717-9F44-BF57-9A61F32EF3E6}"/>
    <hyperlink ref="B56" r:id="rId44" xr:uid="{7AC948A3-A65F-D342-A9D5-298C72035EB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D92EA-9634-3E40-9799-87E22E8E9B51}">
  <dimension ref="B2:F11"/>
  <sheetViews>
    <sheetView workbookViewId="0">
      <selection activeCell="J47" sqref="J47"/>
    </sheetView>
  </sheetViews>
  <sheetFormatPr baseColWidth="10" defaultRowHeight="16" x14ac:dyDescent="0.2"/>
  <cols>
    <col min="2" max="2" width="9" bestFit="1" customWidth="1"/>
    <col min="3" max="3" width="8.1640625" bestFit="1" customWidth="1"/>
    <col min="4" max="4" width="18.5" bestFit="1" customWidth="1"/>
    <col min="5" max="5" width="8.1640625" bestFit="1" customWidth="1"/>
  </cols>
  <sheetData>
    <row r="2" spans="2:6" x14ac:dyDescent="0.2">
      <c r="B2" s="6" t="s">
        <v>0</v>
      </c>
      <c r="C2" s="7" t="s">
        <v>1</v>
      </c>
      <c r="D2" s="7" t="s">
        <v>4</v>
      </c>
      <c r="E2" s="7" t="s">
        <v>2</v>
      </c>
      <c r="F2" s="7" t="s">
        <v>57</v>
      </c>
    </row>
    <row r="3" spans="2:6" x14ac:dyDescent="0.2">
      <c r="B3" s="8">
        <v>10</v>
      </c>
      <c r="C3" s="3" t="s">
        <v>48</v>
      </c>
      <c r="D3" s="3">
        <v>1.7</v>
      </c>
      <c r="E3">
        <f>B3-2*D3</f>
        <v>6.6</v>
      </c>
      <c r="F3">
        <v>7.0000000000000001E-3</v>
      </c>
    </row>
    <row r="4" spans="2:6" x14ac:dyDescent="0.2">
      <c r="B4" s="8">
        <v>15</v>
      </c>
      <c r="C4" s="3" t="s">
        <v>48</v>
      </c>
      <c r="D4" s="3">
        <v>1.7</v>
      </c>
      <c r="E4">
        <f>B4-2*D4</f>
        <v>11.6</v>
      </c>
      <c r="F4">
        <v>7.0000000000000001E-3</v>
      </c>
    </row>
    <row r="5" spans="2:6" x14ac:dyDescent="0.2">
      <c r="B5" s="8">
        <v>22</v>
      </c>
      <c r="C5" s="3" t="s">
        <v>48</v>
      </c>
      <c r="D5" s="3">
        <v>2.2000000000000002</v>
      </c>
      <c r="E5">
        <f>B5-2*D5</f>
        <v>17.600000000000001</v>
      </c>
      <c r="F5">
        <v>7.0000000000000001E-3</v>
      </c>
    </row>
    <row r="6" spans="2:6" x14ac:dyDescent="0.2">
      <c r="B6" s="8"/>
      <c r="C6" s="3"/>
      <c r="D6" s="3"/>
    </row>
    <row r="7" spans="2:6" x14ac:dyDescent="0.2">
      <c r="B7" s="8">
        <v>10</v>
      </c>
      <c r="C7" s="3" t="s">
        <v>3</v>
      </c>
      <c r="D7" s="3">
        <v>0.6</v>
      </c>
      <c r="E7">
        <f>B7-2*D7</f>
        <v>8.8000000000000007</v>
      </c>
    </row>
    <row r="8" spans="2:6" x14ac:dyDescent="0.2">
      <c r="B8" s="8">
        <v>15</v>
      </c>
      <c r="C8" s="3" t="s">
        <v>3</v>
      </c>
      <c r="D8" s="3">
        <v>0.7</v>
      </c>
      <c r="E8">
        <f>B8-2*D8</f>
        <v>13.6</v>
      </c>
    </row>
    <row r="9" spans="2:6" x14ac:dyDescent="0.2">
      <c r="B9" s="8">
        <v>22</v>
      </c>
      <c r="C9" s="3" t="s">
        <v>3</v>
      </c>
      <c r="D9" s="3">
        <v>0.9</v>
      </c>
      <c r="E9">
        <f>B9-2*D9</f>
        <v>20.2</v>
      </c>
    </row>
    <row r="10" spans="2:6" x14ac:dyDescent="0.2">
      <c r="B10" s="8">
        <v>28</v>
      </c>
      <c r="C10" s="3" t="s">
        <v>3</v>
      </c>
      <c r="D10" s="3">
        <v>0.9</v>
      </c>
      <c r="E10">
        <f>B10-2*D10</f>
        <v>26.2</v>
      </c>
    </row>
    <row r="11" spans="2:6" x14ac:dyDescent="0.2">
      <c r="B11" s="8">
        <v>35</v>
      </c>
      <c r="C11" s="3" t="s">
        <v>3</v>
      </c>
      <c r="D11" s="3">
        <v>1.2</v>
      </c>
      <c r="E11">
        <f>B11-2*D11</f>
        <v>32.6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BB0F-F256-9943-951A-BE58CEB0BEBE}">
  <dimension ref="B2:N15"/>
  <sheetViews>
    <sheetView workbookViewId="0">
      <selection activeCell="H23" sqref="H23"/>
    </sheetView>
  </sheetViews>
  <sheetFormatPr baseColWidth="10" defaultRowHeight="16" x14ac:dyDescent="0.2"/>
  <cols>
    <col min="2" max="2" width="17.1640625" bestFit="1" customWidth="1"/>
    <col min="3" max="3" width="18.5" bestFit="1" customWidth="1"/>
    <col min="4" max="4" width="17.5" bestFit="1" customWidth="1"/>
    <col min="5" max="5" width="14.1640625" bestFit="1" customWidth="1"/>
    <col min="6" max="6" width="14.83203125" bestFit="1" customWidth="1"/>
    <col min="7" max="7" width="17.5" bestFit="1" customWidth="1"/>
    <col min="8" max="8" width="14.1640625" bestFit="1" customWidth="1"/>
    <col min="9" max="9" width="14.83203125" bestFit="1" customWidth="1"/>
    <col min="11" max="11" width="15" customWidth="1"/>
    <col min="12" max="12" width="18.5" style="4" customWidth="1"/>
    <col min="13" max="13" width="19.83203125" style="4" customWidth="1"/>
    <col min="14" max="14" width="22.1640625" style="2" customWidth="1"/>
  </cols>
  <sheetData>
    <row r="2" spans="2:14" ht="34" x14ac:dyDescent="0.2">
      <c r="B2" s="1" t="s">
        <v>70</v>
      </c>
      <c r="C2" s="1" t="s">
        <v>46</v>
      </c>
      <c r="D2" s="12" t="s">
        <v>53</v>
      </c>
      <c r="E2" s="12" t="s">
        <v>55</v>
      </c>
      <c r="F2" s="12" t="s">
        <v>58</v>
      </c>
      <c r="G2" s="12" t="s">
        <v>54</v>
      </c>
      <c r="H2" s="12" t="s">
        <v>56</v>
      </c>
      <c r="I2" s="12" t="s">
        <v>59</v>
      </c>
      <c r="J2" s="12" t="s">
        <v>73</v>
      </c>
      <c r="K2" s="12" t="s">
        <v>72</v>
      </c>
      <c r="L2" s="14" t="s">
        <v>71</v>
      </c>
      <c r="M2" s="14" t="s">
        <v>75</v>
      </c>
      <c r="N2" s="15" t="s">
        <v>74</v>
      </c>
    </row>
    <row r="3" spans="2:14" x14ac:dyDescent="0.2">
      <c r="B3" t="s">
        <v>60</v>
      </c>
      <c r="C3">
        <v>12</v>
      </c>
      <c r="D3">
        <v>4106</v>
      </c>
      <c r="E3">
        <v>21877</v>
      </c>
      <c r="F3">
        <v>1.9</v>
      </c>
      <c r="J3">
        <v>15</v>
      </c>
      <c r="K3">
        <v>2</v>
      </c>
      <c r="L3" s="4">
        <f>(K3*D3)/100000</f>
        <v>8.2119999999999999E-2</v>
      </c>
      <c r="M3" s="4">
        <f>K3*1000*PI()*(Pipes!E$4/2000)^2</f>
        <v>0.21136635373352125</v>
      </c>
      <c r="N3" s="2">
        <f t="shared" ref="N3:N12" si="0">M3/(C3/60)</f>
        <v>1.0568317686676061</v>
      </c>
    </row>
    <row r="4" spans="2:14" x14ac:dyDescent="0.2">
      <c r="B4" t="s">
        <v>61</v>
      </c>
      <c r="C4">
        <v>6</v>
      </c>
      <c r="D4">
        <v>1198</v>
      </c>
      <c r="E4">
        <v>10938</v>
      </c>
      <c r="F4">
        <v>0.95</v>
      </c>
      <c r="G4">
        <v>18262</v>
      </c>
      <c r="H4">
        <v>19225</v>
      </c>
      <c r="I4">
        <v>2.9</v>
      </c>
      <c r="J4">
        <v>10</v>
      </c>
      <c r="K4">
        <v>4</v>
      </c>
      <c r="L4" s="4">
        <f>(K4*G4)/100000</f>
        <v>0.73048000000000002</v>
      </c>
      <c r="M4" s="4">
        <f>K4*1000*PI()*(Pipes!E$3/2000)^2</f>
        <v>0.13684777599037137</v>
      </c>
      <c r="N4" s="2">
        <f t="shared" si="0"/>
        <v>1.3684777599037137</v>
      </c>
    </row>
    <row r="5" spans="2:14" x14ac:dyDescent="0.2">
      <c r="B5" t="s">
        <v>62</v>
      </c>
      <c r="C5">
        <v>6</v>
      </c>
      <c r="G5">
        <v>18262</v>
      </c>
      <c r="H5">
        <v>19225</v>
      </c>
      <c r="I5">
        <v>2.9</v>
      </c>
      <c r="J5">
        <v>10</v>
      </c>
      <c r="K5">
        <v>4</v>
      </c>
      <c r="L5" s="4">
        <f>(K5*G5)/100000</f>
        <v>0.73048000000000002</v>
      </c>
      <c r="M5" s="4">
        <f>K5*1000*PI()*(Pipes!E$3/2000)^2</f>
        <v>0.13684777599037137</v>
      </c>
      <c r="N5" s="2">
        <f t="shared" si="0"/>
        <v>1.3684777599037137</v>
      </c>
    </row>
    <row r="6" spans="2:14" x14ac:dyDescent="0.2">
      <c r="B6" t="s">
        <v>63</v>
      </c>
      <c r="C6">
        <v>12</v>
      </c>
      <c r="D6">
        <v>4106</v>
      </c>
      <c r="E6">
        <v>21877</v>
      </c>
      <c r="F6">
        <v>1.9</v>
      </c>
      <c r="J6">
        <v>15</v>
      </c>
      <c r="K6">
        <v>8</v>
      </c>
      <c r="L6" s="4">
        <f>(K6*D6)/100000</f>
        <v>0.32847999999999999</v>
      </c>
      <c r="M6" s="4">
        <f>K6*1000*PI()*(Pipes!E$4/2000)^2</f>
        <v>0.845465414934085</v>
      </c>
      <c r="N6" s="2">
        <f t="shared" si="0"/>
        <v>4.2273270746704243</v>
      </c>
    </row>
    <row r="7" spans="2:14" x14ac:dyDescent="0.2">
      <c r="B7" t="s">
        <v>64</v>
      </c>
      <c r="C7">
        <v>6</v>
      </c>
      <c r="D7">
        <v>1198</v>
      </c>
      <c r="E7">
        <v>10938</v>
      </c>
      <c r="F7">
        <v>0.95</v>
      </c>
      <c r="G7">
        <v>18262</v>
      </c>
      <c r="H7">
        <v>19225</v>
      </c>
      <c r="I7">
        <v>2.9</v>
      </c>
      <c r="J7">
        <v>10</v>
      </c>
      <c r="K7">
        <v>4</v>
      </c>
      <c r="L7" s="4">
        <f>(K7*G7)/100000</f>
        <v>0.73048000000000002</v>
      </c>
      <c r="M7" s="4">
        <f>K7*1000*PI()*(Pipes!E$3/2000)^2</f>
        <v>0.13684777599037137</v>
      </c>
      <c r="N7" s="2">
        <f t="shared" si="0"/>
        <v>1.3684777599037137</v>
      </c>
    </row>
    <row r="8" spans="2:14" x14ac:dyDescent="0.2">
      <c r="B8" t="s">
        <v>65</v>
      </c>
      <c r="C8">
        <v>6</v>
      </c>
      <c r="G8">
        <v>18262</v>
      </c>
      <c r="H8">
        <v>19225</v>
      </c>
      <c r="I8">
        <v>2.9</v>
      </c>
      <c r="J8">
        <v>10</v>
      </c>
      <c r="K8">
        <v>4</v>
      </c>
      <c r="L8" s="4">
        <f>(K8*G8)/100000</f>
        <v>0.73048000000000002</v>
      </c>
      <c r="M8" s="4">
        <f>K8*1000*PI()*(Pipes!E$3/2000)^2</f>
        <v>0.13684777599037137</v>
      </c>
      <c r="N8" s="2">
        <f t="shared" si="0"/>
        <v>1.3684777599037137</v>
      </c>
    </row>
    <row r="9" spans="2:14" x14ac:dyDescent="0.2">
      <c r="B9" t="s">
        <v>66</v>
      </c>
      <c r="C9">
        <v>6</v>
      </c>
      <c r="D9">
        <v>1198</v>
      </c>
      <c r="E9">
        <v>10938</v>
      </c>
      <c r="F9">
        <v>0.95</v>
      </c>
      <c r="J9">
        <v>15</v>
      </c>
      <c r="K9">
        <v>8</v>
      </c>
      <c r="L9" s="4">
        <f>(K9*D9)/100000</f>
        <v>9.5839999999999995E-2</v>
      </c>
      <c r="M9" s="4">
        <f>K9*1000*PI()*(Pipes!E$4/2000)^2</f>
        <v>0.845465414934085</v>
      </c>
      <c r="N9" s="2">
        <f t="shared" si="0"/>
        <v>8.4546541493408487</v>
      </c>
    </row>
    <row r="10" spans="2:14" x14ac:dyDescent="0.2">
      <c r="B10" t="s">
        <v>69</v>
      </c>
      <c r="C10">
        <v>6</v>
      </c>
      <c r="D10">
        <v>1198</v>
      </c>
      <c r="E10">
        <v>10938</v>
      </c>
      <c r="F10">
        <v>0.95</v>
      </c>
      <c r="J10">
        <v>15</v>
      </c>
      <c r="K10">
        <v>20</v>
      </c>
      <c r="L10" s="4">
        <f>(K10*D10)/100000</f>
        <v>0.23960000000000001</v>
      </c>
      <c r="M10" s="4">
        <f>K10*1000*PI()*(Pipes!E$4/2000)^2</f>
        <v>2.1136635373352126</v>
      </c>
      <c r="N10" s="2">
        <f t="shared" si="0"/>
        <v>21.136635373352124</v>
      </c>
    </row>
    <row r="11" spans="2:14" x14ac:dyDescent="0.2">
      <c r="B11" t="s">
        <v>67</v>
      </c>
      <c r="C11">
        <v>3</v>
      </c>
      <c r="D11">
        <v>357</v>
      </c>
      <c r="E11">
        <v>5469</v>
      </c>
      <c r="F11">
        <v>0.47</v>
      </c>
      <c r="G11">
        <v>5291</v>
      </c>
      <c r="H11">
        <v>9612</v>
      </c>
      <c r="I11">
        <v>1.4</v>
      </c>
      <c r="J11">
        <v>15</v>
      </c>
      <c r="K11">
        <v>15</v>
      </c>
      <c r="L11" s="4">
        <f>(K11*D11)/100000</f>
        <v>5.355E-2</v>
      </c>
      <c r="M11" s="4">
        <f>K11*1000*PI()*(Pipes!E$4/2000)^2</f>
        <v>1.5852476530014095</v>
      </c>
      <c r="N11" s="2">
        <f t="shared" si="0"/>
        <v>31.704953060028188</v>
      </c>
    </row>
    <row r="12" spans="2:14" x14ac:dyDescent="0.2">
      <c r="B12" t="s">
        <v>68</v>
      </c>
      <c r="C12">
        <v>3</v>
      </c>
      <c r="D12">
        <v>357</v>
      </c>
      <c r="E12">
        <v>5469</v>
      </c>
      <c r="F12">
        <v>0.47</v>
      </c>
      <c r="G12">
        <v>5291</v>
      </c>
      <c r="H12">
        <v>9612</v>
      </c>
      <c r="I12">
        <v>1.4</v>
      </c>
      <c r="J12">
        <v>15</v>
      </c>
      <c r="K12">
        <v>20</v>
      </c>
      <c r="L12" s="4">
        <f>(K12*D12)/100000</f>
        <v>7.1400000000000005E-2</v>
      </c>
      <c r="M12" s="4">
        <f>K12*1000*PI()*(Pipes!E$4/2000)^2</f>
        <v>2.1136635373352126</v>
      </c>
      <c r="N12" s="2">
        <f t="shared" si="0"/>
        <v>42.273270746704249</v>
      </c>
    </row>
    <row r="14" spans="2:14" x14ac:dyDescent="0.2">
      <c r="B14" t="s">
        <v>149</v>
      </c>
      <c r="C14">
        <v>4.5</v>
      </c>
      <c r="G14">
        <v>10885</v>
      </c>
      <c r="H14">
        <v>14419</v>
      </c>
      <c r="I14">
        <v>2.2000000000000002</v>
      </c>
      <c r="J14">
        <v>10</v>
      </c>
      <c r="K14">
        <v>10</v>
      </c>
      <c r="L14" s="4">
        <f>(K14*G14)/100000</f>
        <v>1.0885</v>
      </c>
      <c r="M14" s="4">
        <f>K14*1000*PI()*(Pipes!E$3/2000)^2</f>
        <v>0.34211943997592847</v>
      </c>
      <c r="N14" s="2">
        <f t="shared" ref="N14" si="1">M14/(C14/60)</f>
        <v>4.5615925330123801</v>
      </c>
    </row>
    <row r="15" spans="2:14" x14ac:dyDescent="0.2">
      <c r="B15" t="s">
        <v>150</v>
      </c>
      <c r="C15">
        <v>6</v>
      </c>
      <c r="G15">
        <v>18262</v>
      </c>
      <c r="H15">
        <v>19225</v>
      </c>
      <c r="I15">
        <v>2.9</v>
      </c>
      <c r="J15">
        <v>10</v>
      </c>
      <c r="K15">
        <v>10</v>
      </c>
      <c r="L15" s="4">
        <f>(K15*G15)/100000</f>
        <v>1.8262</v>
      </c>
      <c r="M15" s="4">
        <f>K15*1000*PI()*(Pipes!E$3/2000)^2</f>
        <v>0.34211943997592847</v>
      </c>
      <c r="N15" s="2">
        <f t="shared" ref="N15" si="2">M15/(C15/60)</f>
        <v>3.4211943997592846</v>
      </c>
    </row>
  </sheetData>
  <conditionalFormatting sqref="M3:M12">
    <cfRule type="cellIs" dxfId="18" priority="7" operator="between">
      <formula>0.25</formula>
      <formula>1.5</formula>
    </cfRule>
    <cfRule type="cellIs" dxfId="17" priority="8" operator="greaterThan">
      <formula>1.5</formula>
    </cfRule>
    <cfRule type="cellIs" dxfId="16" priority="9" operator="lessThan">
      <formula>0.25</formula>
    </cfRule>
  </conditionalFormatting>
  <conditionalFormatting sqref="M14:M15">
    <cfRule type="cellIs" dxfId="15" priority="1" operator="between">
      <formula>0.25</formula>
      <formula>1.5</formula>
    </cfRule>
    <cfRule type="cellIs" dxfId="14" priority="2" operator="greaterThan">
      <formula>1.5</formula>
    </cfRule>
    <cfRule type="cellIs" dxfId="13" priority="3" operator="lessThan">
      <formula>0.25</formula>
    </cfRule>
  </conditionalFormatting>
  <conditionalFormatting sqref="N3:N12">
    <cfRule type="cellIs" dxfId="12" priority="10" operator="between">
      <formula>5</formula>
      <formula>15</formula>
    </cfRule>
    <cfRule type="cellIs" dxfId="11" priority="11" operator="lessThan">
      <formula>5</formula>
    </cfRule>
    <cfRule type="cellIs" dxfId="10" priority="12" operator="greaterThan">
      <formula>15</formula>
    </cfRule>
  </conditionalFormatting>
  <conditionalFormatting sqref="N14:N15">
    <cfRule type="cellIs" dxfId="9" priority="4" operator="between">
      <formula>5</formula>
      <formula>15</formula>
    </cfRule>
    <cfRule type="cellIs" dxfId="8" priority="5" operator="lessThan">
      <formula>5</formula>
    </cfRule>
    <cfRule type="cellIs" dxfId="7" priority="6" operator="greaterThan">
      <formula>15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DAEF-D3CE-A94C-A24A-046F2152FF6D}">
  <dimension ref="A3:AB71"/>
  <sheetViews>
    <sheetView workbookViewId="0">
      <selection activeCell="U52" sqref="U52"/>
    </sheetView>
  </sheetViews>
  <sheetFormatPr baseColWidth="10" defaultRowHeight="16" x14ac:dyDescent="0.2"/>
  <cols>
    <col min="1" max="1" width="9.5" bestFit="1" customWidth="1"/>
    <col min="2" max="2" width="15" bestFit="1" customWidth="1"/>
    <col min="3" max="3" width="22.5" bestFit="1" customWidth="1"/>
    <col min="4" max="4" width="5.1640625" bestFit="1" customWidth="1"/>
    <col min="5" max="5" width="15.6640625" bestFit="1" customWidth="1"/>
    <col min="6" max="6" width="17.33203125" bestFit="1" customWidth="1"/>
    <col min="7" max="7" width="15.1640625" bestFit="1" customWidth="1"/>
    <col min="8" max="8" width="26.83203125" bestFit="1" customWidth="1"/>
    <col min="19" max="19" width="11.83203125" bestFit="1" customWidth="1"/>
    <col min="20" max="20" width="12" bestFit="1" customWidth="1"/>
    <col min="21" max="21" width="10" bestFit="1" customWidth="1"/>
    <col min="22" max="22" width="13.5" bestFit="1" customWidth="1"/>
    <col min="23" max="23" width="10" bestFit="1" customWidth="1"/>
    <col min="24" max="24" width="12" bestFit="1" customWidth="1"/>
    <col min="25" max="25" width="15.1640625" bestFit="1" customWidth="1"/>
    <col min="26" max="26" width="17.33203125" bestFit="1" customWidth="1"/>
    <col min="27" max="27" width="15.1640625" bestFit="1" customWidth="1"/>
    <col min="28" max="28" width="26.83203125" bestFit="1" customWidth="1"/>
  </cols>
  <sheetData>
    <row r="3" spans="1:28" x14ac:dyDescent="0.2">
      <c r="A3" s="1" t="s">
        <v>122</v>
      </c>
      <c r="B3" s="1" t="s">
        <v>121</v>
      </c>
      <c r="C3" s="1" t="s">
        <v>118</v>
      </c>
      <c r="D3" s="1" t="s">
        <v>117</v>
      </c>
      <c r="E3" s="1" t="s">
        <v>46</v>
      </c>
      <c r="F3" s="1" t="s">
        <v>104</v>
      </c>
      <c r="G3" s="1" t="s">
        <v>105</v>
      </c>
      <c r="H3" s="1" t="s">
        <v>107</v>
      </c>
      <c r="S3" s="1"/>
      <c r="T3" s="1" t="s">
        <v>129</v>
      </c>
      <c r="U3" s="1" t="s">
        <v>127</v>
      </c>
      <c r="V3" s="1" t="s">
        <v>130</v>
      </c>
      <c r="W3" s="1" t="s">
        <v>126</v>
      </c>
      <c r="X3" s="1" t="s">
        <v>128</v>
      </c>
      <c r="Y3" s="1" t="s">
        <v>46</v>
      </c>
      <c r="Z3" s="1" t="s">
        <v>104</v>
      </c>
      <c r="AA3" s="1" t="s">
        <v>105</v>
      </c>
      <c r="AB3" s="1" t="s">
        <v>107</v>
      </c>
    </row>
    <row r="4" spans="1:28" x14ac:dyDescent="0.2">
      <c r="T4" t="s">
        <v>131</v>
      </c>
      <c r="U4">
        <v>1</v>
      </c>
      <c r="V4" t="s">
        <v>132</v>
      </c>
      <c r="W4">
        <v>0.73</v>
      </c>
      <c r="X4" s="4">
        <f>SQRT((1/(1/(U4^2)+1/(W4^2))))</f>
        <v>0.58961150330983159</v>
      </c>
      <c r="Y4">
        <v>3.1</v>
      </c>
      <c r="Z4" s="4">
        <f>100*(($Y4*60/1000)/$X4)^2</f>
        <v>9.9516247701257274</v>
      </c>
      <c r="AA4" s="4">
        <f>((60*$Y4/1000)*1000*9.81*(Z4/10)/(3600))/'Global Variables'!$C$8</f>
        <v>0.840663502456371</v>
      </c>
      <c r="AB4" s="2">
        <f>AA4*'Global Variables'!$C$9/1000</f>
        <v>2.5219905073691131</v>
      </c>
    </row>
    <row r="5" spans="1:28" x14ac:dyDescent="0.2">
      <c r="B5">
        <v>0.25</v>
      </c>
      <c r="D5">
        <v>0.2</v>
      </c>
      <c r="E5">
        <v>3.1</v>
      </c>
      <c r="F5" s="4">
        <f>100*(($E5*60/1000)/$D5)^2</f>
        <v>86.49</v>
      </c>
      <c r="G5" s="4">
        <f>((60*$E5/1000)*1000*9.81*(F5/10)/(3600))/'Global Variables'!$C$8</f>
        <v>7.30624275</v>
      </c>
      <c r="H5" s="2">
        <f>G5*'Global Variables'!$C$9/1000</f>
        <v>21.918728250000001</v>
      </c>
      <c r="J5" s="1" t="s">
        <v>120</v>
      </c>
      <c r="L5" t="s">
        <v>137</v>
      </c>
      <c r="T5" t="s">
        <v>133</v>
      </c>
      <c r="U5">
        <v>0.2</v>
      </c>
      <c r="V5" t="s">
        <v>134</v>
      </c>
      <c r="W5">
        <v>0.16</v>
      </c>
      <c r="X5" s="4">
        <f>SQRT((1/(1/(U5^2)+1/(W5^2))))</f>
        <v>0.12493900951088485</v>
      </c>
      <c r="Y5">
        <v>0.7</v>
      </c>
      <c r="Z5" s="4">
        <f>100*(($Y5*60/1000)/$X5)^2</f>
        <v>11.300625000000002</v>
      </c>
      <c r="AA5" s="4">
        <f>((60*$Y5/1000)*1000*9.81*(Z5/10)/(3600))/'Global Variables'!$C$8</f>
        <v>0.21555942187500007</v>
      </c>
      <c r="AB5" s="2">
        <f>AA5*'Global Variables'!$C$9/1000</f>
        <v>0.64667826562500019</v>
      </c>
    </row>
    <row r="6" spans="1:28" x14ac:dyDescent="0.2">
      <c r="B6">
        <v>0.5</v>
      </c>
      <c r="D6">
        <v>0.4</v>
      </c>
      <c r="E6">
        <v>3.1</v>
      </c>
      <c r="F6" s="4">
        <f t="shared" ref="F6:F9" si="0">100*(($E6*60/1000)/$D6)^2</f>
        <v>21.622499999999999</v>
      </c>
      <c r="G6" s="4">
        <f>((60*$E6/1000)*1000*9.81*(F6/10)/(3600))/'Global Variables'!$C$8</f>
        <v>1.8265606875</v>
      </c>
      <c r="H6" s="2">
        <f>G6*'Global Variables'!$C$9/1000</f>
        <v>5.4796820625000002</v>
      </c>
    </row>
    <row r="7" spans="1:28" x14ac:dyDescent="0.2">
      <c r="B7">
        <v>0.75</v>
      </c>
      <c r="D7">
        <v>0.5</v>
      </c>
      <c r="E7">
        <v>3.1</v>
      </c>
      <c r="F7" s="4">
        <f t="shared" si="0"/>
        <v>13.8384</v>
      </c>
      <c r="G7" s="4">
        <f>((60*$E7/1000)*1000*9.81*(F7/10)/(3600))/'Global Variables'!$C$8</f>
        <v>1.1689988400000002</v>
      </c>
      <c r="H7" s="2">
        <f>G7*'Global Variables'!$C$9/1000</f>
        <v>3.5069965200000004</v>
      </c>
    </row>
    <row r="8" spans="1:28" ht="17" thickBot="1" x14ac:dyDescent="0.25">
      <c r="B8">
        <v>1</v>
      </c>
      <c r="D8">
        <v>0.65</v>
      </c>
      <c r="E8">
        <v>3.1</v>
      </c>
      <c r="F8" s="4">
        <f t="shared" si="0"/>
        <v>8.1884023668639045</v>
      </c>
      <c r="G8" s="4">
        <f>((60*$E8/1000)*1000*9.81*(F8/10)/(3600))/'Global Variables'!$C$8</f>
        <v>0.69171528994082843</v>
      </c>
      <c r="H8" s="2">
        <f>G8*'Global Variables'!$C$9/1000</f>
        <v>2.0751458698224852</v>
      </c>
    </row>
    <row r="9" spans="1:28" ht="17" thickBot="1" x14ac:dyDescent="0.25">
      <c r="B9" s="18">
        <v>1.5</v>
      </c>
      <c r="C9" s="19"/>
      <c r="D9" s="19">
        <v>1</v>
      </c>
      <c r="E9" s="19">
        <v>3.1</v>
      </c>
      <c r="F9" s="20">
        <f t="shared" si="0"/>
        <v>3.4596</v>
      </c>
      <c r="G9" s="20">
        <f>((60*$E9/1000)*1000*9.81*(F9/10)/(3600))/'Global Variables'!$C$8</f>
        <v>0.29224971000000005</v>
      </c>
      <c r="H9" s="21">
        <f>G9*'Global Variables'!$C$9/1000</f>
        <v>0.8767491300000001</v>
      </c>
    </row>
    <row r="10" spans="1:28" x14ac:dyDescent="0.2">
      <c r="B10">
        <v>2</v>
      </c>
      <c r="D10">
        <v>1.3</v>
      </c>
      <c r="E10">
        <v>3.1</v>
      </c>
      <c r="F10" s="4">
        <f>100*(($E10*60/1000)/$D10)^2</f>
        <v>2.0471005917159761</v>
      </c>
      <c r="G10" s="4">
        <f>((60*$E10/1000)*1000*9.81*(F10/10)/(3600))/'Global Variables'!$C$8</f>
        <v>0.17292882248520711</v>
      </c>
      <c r="H10" s="2">
        <f>G10*'Global Variables'!$C$9/1000</f>
        <v>0.51878646745562129</v>
      </c>
    </row>
    <row r="11" spans="1:28" x14ac:dyDescent="0.2">
      <c r="B11">
        <v>2.5</v>
      </c>
      <c r="D11">
        <v>1.7</v>
      </c>
      <c r="E11">
        <v>3.1</v>
      </c>
      <c r="F11" s="4">
        <f t="shared" ref="F11:F14" si="1">100*(($E11*60/1000)/$D11)^2</f>
        <v>1.1970934256055366</v>
      </c>
      <c r="G11" s="4">
        <f>((60*$E11/1000)*1000*9.81*(F11/10)/(3600))/'Global Variables'!$C$8</f>
        <v>0.10112446712802771</v>
      </c>
      <c r="H11" s="2">
        <f>G11*'Global Variables'!$C$9/1000</f>
        <v>0.30337340138408314</v>
      </c>
    </row>
    <row r="12" spans="1:28" x14ac:dyDescent="0.2">
      <c r="B12">
        <v>3</v>
      </c>
      <c r="D12">
        <v>1.9</v>
      </c>
      <c r="E12">
        <v>3.1</v>
      </c>
      <c r="F12" s="4">
        <f t="shared" si="1"/>
        <v>0.9583379501385042</v>
      </c>
      <c r="G12" s="4">
        <f>((60*$E12/1000)*1000*9.81*(F12/10)/(3600))/'Global Variables'!$C$8</f>
        <v>8.0955598337950158E-2</v>
      </c>
      <c r="H12" s="2">
        <f>G12*'Global Variables'!$C$9/1000</f>
        <v>0.24286679501385047</v>
      </c>
    </row>
    <row r="13" spans="1:28" x14ac:dyDescent="0.2">
      <c r="B13">
        <v>3.5</v>
      </c>
      <c r="D13">
        <v>2.1</v>
      </c>
      <c r="E13">
        <v>3.1</v>
      </c>
      <c r="F13" s="4">
        <f t="shared" si="1"/>
        <v>0.78448979591836721</v>
      </c>
      <c r="G13" s="4">
        <f>((60*$E13/1000)*1000*9.81*(F13/10)/(3600))/'Global Variables'!$C$8</f>
        <v>6.6269775510204076E-2</v>
      </c>
      <c r="H13" s="2">
        <f>G13*'Global Variables'!$C$9/1000</f>
        <v>0.19880932653061223</v>
      </c>
    </row>
    <row r="14" spans="1:28" ht="17" thickBot="1" x14ac:dyDescent="0.25">
      <c r="B14">
        <v>4</v>
      </c>
      <c r="D14">
        <v>2.2999999999999998</v>
      </c>
      <c r="E14">
        <v>3.1</v>
      </c>
      <c r="F14" s="4">
        <f t="shared" si="1"/>
        <v>0.6539886578449905</v>
      </c>
      <c r="G14" s="4">
        <f>((60*$E14/1000)*1000*9.81*(F14/10)/(3600))/'Global Variables'!$C$8</f>
        <v>5.5245691871455574E-2</v>
      </c>
      <c r="H14" s="2">
        <f>G14*'Global Variables'!$C$9/1000</f>
        <v>0.16573707561436671</v>
      </c>
    </row>
    <row r="15" spans="1:28" ht="17" thickBot="1" x14ac:dyDescent="0.25">
      <c r="B15" s="18">
        <v>0.25</v>
      </c>
      <c r="C15" s="19"/>
      <c r="D15" s="19">
        <v>0.2</v>
      </c>
      <c r="E15" s="19">
        <v>0.7</v>
      </c>
      <c r="F15" s="20">
        <f t="shared" ref="F15:F18" si="2">100*(($E15*60/1000)/$D15)^2</f>
        <v>4.4099999999999993</v>
      </c>
      <c r="G15" s="20">
        <f>((60*$E15/1000)*1000*9.81*(F15/10)/(3600))/'Global Variables'!$C$8</f>
        <v>8.4120749999999994E-2</v>
      </c>
      <c r="H15" s="21">
        <f>G15*'Global Variables'!$C$9/1000</f>
        <v>0.25236225000000001</v>
      </c>
    </row>
    <row r="16" spans="1:28" x14ac:dyDescent="0.2">
      <c r="B16">
        <v>0.5</v>
      </c>
      <c r="D16">
        <v>0.4</v>
      </c>
      <c r="E16">
        <v>0.7</v>
      </c>
      <c r="F16" s="4">
        <f t="shared" si="2"/>
        <v>1.1024999999999998</v>
      </c>
      <c r="G16" s="4">
        <f>((60*$E16/1000)*1000*9.81*(F16/10)/(3600))/'Global Variables'!$C$8</f>
        <v>2.1030187499999999E-2</v>
      </c>
      <c r="H16" s="2">
        <f>G16*'Global Variables'!$C$9/1000</f>
        <v>6.3090562500000003E-2</v>
      </c>
    </row>
    <row r="17" spans="1:12" x14ac:dyDescent="0.2">
      <c r="B17">
        <v>0.75</v>
      </c>
      <c r="D17">
        <v>0.5</v>
      </c>
      <c r="E17">
        <v>0.7</v>
      </c>
      <c r="F17" s="4">
        <f t="shared" si="2"/>
        <v>0.70560000000000012</v>
      </c>
      <c r="G17" s="4">
        <f>((60*$E17/1000)*1000*9.81*(F17/10)/(3600))/'Global Variables'!$C$8</f>
        <v>1.3459320000000006E-2</v>
      </c>
      <c r="H17" s="2">
        <f>G17*'Global Variables'!$C$9/1000</f>
        <v>4.0377960000000018E-2</v>
      </c>
    </row>
    <row r="18" spans="1:12" x14ac:dyDescent="0.2">
      <c r="B18">
        <v>1</v>
      </c>
      <c r="D18">
        <v>0.65</v>
      </c>
      <c r="E18">
        <v>0.7</v>
      </c>
      <c r="F18" s="4">
        <f t="shared" si="2"/>
        <v>0.41751479289940829</v>
      </c>
      <c r="G18" s="4">
        <f>((60*$E18/1000)*1000*9.81*(F18/10)/(3600))/'Global Variables'!$C$8</f>
        <v>7.9640946745562144E-3</v>
      </c>
      <c r="H18" s="2">
        <f>G18*'Global Variables'!$C$9/1000</f>
        <v>2.3892284023668643E-2</v>
      </c>
    </row>
    <row r="19" spans="1:12" x14ac:dyDescent="0.2">
      <c r="B19">
        <v>1.5</v>
      </c>
      <c r="D19">
        <v>1</v>
      </c>
      <c r="E19">
        <v>0.7</v>
      </c>
      <c r="F19" s="4">
        <f>100*(($E19*60/1000)/$D19)^2</f>
        <v>0.17640000000000003</v>
      </c>
      <c r="G19" s="4">
        <f>((60*$E19/1000)*1000*9.81*(F19/10)/(3600))/'Global Variables'!$C$8</f>
        <v>3.3648300000000014E-3</v>
      </c>
      <c r="H19" s="2">
        <f>G19*'Global Variables'!$C$9/1000</f>
        <v>1.0094490000000005E-2</v>
      </c>
    </row>
    <row r="20" spans="1:12" x14ac:dyDescent="0.2">
      <c r="B20">
        <v>2.5</v>
      </c>
      <c r="D20">
        <v>1.7</v>
      </c>
      <c r="E20">
        <v>0.7</v>
      </c>
      <c r="F20" s="4">
        <f t="shared" ref="F20:F23" si="3">100*(($E20*60/1000)/$D20)^2</f>
        <v>6.1038062283737031E-2</v>
      </c>
      <c r="G20" s="4">
        <f>((60*$E20/1000)*1000*9.81*(F20/10)/(3600))/'Global Variables'!$C$8</f>
        <v>1.164301038062284E-3</v>
      </c>
      <c r="H20" s="2">
        <f>G20*'Global Variables'!$C$9/1000</f>
        <v>3.4929031141868521E-3</v>
      </c>
    </row>
    <row r="21" spans="1:12" x14ac:dyDescent="0.2">
      <c r="B21">
        <v>3</v>
      </c>
      <c r="D21">
        <v>1.9</v>
      </c>
      <c r="E21">
        <v>0.7</v>
      </c>
      <c r="F21" s="4">
        <f t="shared" si="3"/>
        <v>4.8864265927977851E-2</v>
      </c>
      <c r="G21" s="4">
        <f>((60*$E21/1000)*1000*9.81*(F21/10)/(3600))/'Global Variables'!$C$8</f>
        <v>9.3208587257617758E-4</v>
      </c>
      <c r="H21" s="2">
        <f>G21*'Global Variables'!$C$9/1000</f>
        <v>2.7962576177285327E-3</v>
      </c>
    </row>
    <row r="22" spans="1:12" x14ac:dyDescent="0.2">
      <c r="B22">
        <v>3.5</v>
      </c>
      <c r="D22">
        <v>2.1</v>
      </c>
      <c r="E22">
        <v>0.7</v>
      </c>
      <c r="F22" s="4">
        <f t="shared" si="3"/>
        <v>0.04</v>
      </c>
      <c r="G22" s="4">
        <f>((60*$E22/1000)*1000*9.81*(F22/10)/(3600))/'Global Variables'!$C$8</f>
        <v>7.6300000000000011E-4</v>
      </c>
      <c r="H22" s="2">
        <f>G22*'Global Variables'!$C$9/1000</f>
        <v>2.2890000000000002E-3</v>
      </c>
    </row>
    <row r="23" spans="1:12" x14ac:dyDescent="0.2">
      <c r="B23">
        <v>4</v>
      </c>
      <c r="D23">
        <v>2.2999999999999998</v>
      </c>
      <c r="E23">
        <v>0.7</v>
      </c>
      <c r="F23" s="4">
        <f t="shared" si="3"/>
        <v>3.3345935727788288E-2</v>
      </c>
      <c r="G23" s="4">
        <f>((60*$E23/1000)*1000*9.81*(F23/10)/(3600))/'Global Variables'!$C$8</f>
        <v>6.3607372400756171E-4</v>
      </c>
      <c r="H23" s="2">
        <f>G23*'Global Variables'!$C$9/1000</f>
        <v>1.9082211720226853E-3</v>
      </c>
    </row>
    <row r="24" spans="1:12" x14ac:dyDescent="0.2">
      <c r="F24" s="4"/>
      <c r="G24" s="4"/>
      <c r="H24" s="2"/>
    </row>
    <row r="27" spans="1:12" x14ac:dyDescent="0.2">
      <c r="A27">
        <v>1</v>
      </c>
      <c r="C27">
        <v>2</v>
      </c>
      <c r="D27">
        <v>0.04</v>
      </c>
      <c r="E27">
        <v>3.1</v>
      </c>
      <c r="F27" s="4">
        <f>100*(($E27*60/1000)/$D27)^2</f>
        <v>2162.2499999999995</v>
      </c>
      <c r="G27" s="4">
        <f>((60*$E27/1000)*1000*9.81*(F27/10)/(3600))/'Global Variables'!$C$8</f>
        <v>182.65606875</v>
      </c>
      <c r="H27" s="2">
        <f>G27*'Global Variables'!$C$9/1000</f>
        <v>547.96820625000009</v>
      </c>
      <c r="J27" s="1" t="s">
        <v>123</v>
      </c>
      <c r="L27" t="s">
        <v>135</v>
      </c>
    </row>
    <row r="28" spans="1:12" x14ac:dyDescent="0.2">
      <c r="A28">
        <v>2</v>
      </c>
      <c r="C28">
        <v>2</v>
      </c>
      <c r="D28">
        <v>0.09</v>
      </c>
      <c r="E28">
        <v>3.1</v>
      </c>
      <c r="F28" s="4">
        <f t="shared" ref="F28:F40" si="4">100*(($E28*60/1000)/$D28)^2</f>
        <v>427.1111111111112</v>
      </c>
      <c r="G28" s="4">
        <f>((60*$E28/1000)*1000*9.81*(F28/10)/(3600))/'Global Variables'!$C$8</f>
        <v>36.080211111111126</v>
      </c>
      <c r="H28" s="2">
        <f>G28*'Global Variables'!$C$9/1000</f>
        <v>108.24063333333338</v>
      </c>
      <c r="L28" t="s">
        <v>136</v>
      </c>
    </row>
    <row r="29" spans="1:12" x14ac:dyDescent="0.2">
      <c r="A29">
        <v>3</v>
      </c>
      <c r="C29">
        <v>2</v>
      </c>
      <c r="D29">
        <v>0.16</v>
      </c>
      <c r="E29">
        <v>3.1</v>
      </c>
      <c r="F29" s="4">
        <f t="shared" si="4"/>
        <v>135.14062499999997</v>
      </c>
      <c r="G29" s="4">
        <f>((60*$E29/1000)*1000*9.81*(F29/10)/(3600))/'Global Variables'!$C$8</f>
        <v>11.416004296875</v>
      </c>
      <c r="H29" s="2">
        <f>G29*'Global Variables'!$C$9/1000</f>
        <v>34.248012890625006</v>
      </c>
    </row>
    <row r="30" spans="1:12" x14ac:dyDescent="0.2">
      <c r="A30">
        <v>4</v>
      </c>
      <c r="C30">
        <v>2</v>
      </c>
      <c r="D30">
        <v>0.25</v>
      </c>
      <c r="E30">
        <v>3.1</v>
      </c>
      <c r="F30" s="4">
        <f t="shared" si="4"/>
        <v>55.3536</v>
      </c>
      <c r="G30" s="4">
        <f>((60*$E30/1000)*1000*9.81*(F30/10)/(3600))/'Global Variables'!$C$8</f>
        <v>4.6759953600000008</v>
      </c>
      <c r="H30" s="2">
        <f>G30*'Global Variables'!$C$9/1000</f>
        <v>14.027986080000002</v>
      </c>
    </row>
    <row r="31" spans="1:12" x14ac:dyDescent="0.2">
      <c r="A31">
        <v>5</v>
      </c>
      <c r="C31">
        <v>2</v>
      </c>
      <c r="D31">
        <v>0.36</v>
      </c>
      <c r="E31">
        <v>3.1</v>
      </c>
      <c r="F31" s="4">
        <f>100*(($E31*60/1000)/$D31)^2</f>
        <v>26.69444444444445</v>
      </c>
      <c r="G31" s="4">
        <f>((60*$E31/1000)*1000*9.81*(F31/10)/(3600))/'Global Variables'!$C$8</f>
        <v>2.2550131944444454</v>
      </c>
      <c r="H31" s="2">
        <f>G31*'Global Variables'!$C$9/1000</f>
        <v>6.7650395833333361</v>
      </c>
    </row>
    <row r="32" spans="1:12" x14ac:dyDescent="0.2">
      <c r="A32">
        <v>6</v>
      </c>
      <c r="C32">
        <v>2</v>
      </c>
      <c r="D32">
        <v>0.43</v>
      </c>
      <c r="E32">
        <v>3.1</v>
      </c>
      <c r="F32" s="4">
        <f>100*(($E32*60/1000)/$D32)^2</f>
        <v>18.710654407787992</v>
      </c>
      <c r="G32" s="4">
        <f>((60*$E32/1000)*1000*9.81*(F32/10)/(3600))/'Global Variables'!$C$8</f>
        <v>1.5805825310978907</v>
      </c>
      <c r="H32" s="2">
        <f>G32*'Global Variables'!$C$9/1000</f>
        <v>4.7417475932936721</v>
      </c>
    </row>
    <row r="33" spans="1:8" ht="17" thickBot="1" x14ac:dyDescent="0.25">
      <c r="A33">
        <v>7</v>
      </c>
      <c r="C33">
        <v>2</v>
      </c>
      <c r="D33">
        <v>0.52</v>
      </c>
      <c r="E33">
        <v>3.1</v>
      </c>
      <c r="F33" s="4">
        <f t="shared" si="4"/>
        <v>12.794378698224854</v>
      </c>
      <c r="G33" s="4">
        <f>((60*$E33/1000)*1000*9.81*(F33/10)/(3600))/'Global Variables'!$C$8</f>
        <v>1.0808051405325445</v>
      </c>
      <c r="H33" s="2">
        <f>G33*'Global Variables'!$C$9/1000</f>
        <v>3.2424154215976335</v>
      </c>
    </row>
    <row r="34" spans="1:8" ht="17" thickBot="1" x14ac:dyDescent="0.25">
      <c r="A34" s="18" t="s">
        <v>125</v>
      </c>
      <c r="B34" s="19"/>
      <c r="C34" s="19">
        <v>2</v>
      </c>
      <c r="D34" s="19">
        <v>0.73</v>
      </c>
      <c r="E34" s="19">
        <v>3.1</v>
      </c>
      <c r="F34" s="20">
        <f t="shared" si="4"/>
        <v>6.4920247701257274</v>
      </c>
      <c r="G34" s="20">
        <f>((60*$E34/1000)*1000*9.81*(F34/10)/(3600))/'Global Variables'!$C$8</f>
        <v>0.5484137924563709</v>
      </c>
      <c r="H34" s="21">
        <f>G34*'Global Variables'!$C$9/1000</f>
        <v>1.6452413773691128</v>
      </c>
    </row>
    <row r="35" spans="1:8" x14ac:dyDescent="0.2">
      <c r="A35">
        <v>1</v>
      </c>
      <c r="C35">
        <v>2</v>
      </c>
      <c r="D35">
        <v>0.04</v>
      </c>
      <c r="E35">
        <v>0.7</v>
      </c>
      <c r="F35" s="4">
        <f t="shared" si="4"/>
        <v>110.25</v>
      </c>
      <c r="G35" s="4">
        <f>((60*$E35/1000)*1000*9.81*(F35/10)/(3600))/'Global Variables'!$C$8</f>
        <v>2.1030187500000004</v>
      </c>
      <c r="H35" s="2">
        <f>G35*'Global Variables'!$C$9/1000</f>
        <v>6.3090562500000011</v>
      </c>
    </row>
    <row r="36" spans="1:8" ht="17" thickBot="1" x14ac:dyDescent="0.25">
      <c r="A36">
        <v>2</v>
      </c>
      <c r="C36">
        <v>2</v>
      </c>
      <c r="D36">
        <v>0.09</v>
      </c>
      <c r="E36">
        <v>0.7</v>
      </c>
      <c r="F36" s="4">
        <f>100*(($E36*60/1000)/$D36)^2</f>
        <v>21.777777777777786</v>
      </c>
      <c r="G36" s="4">
        <f>((60*$E36/1000)*1000*9.81*(F36/10)/(3600))/'Global Variables'!$C$8</f>
        <v>0.41541111111111129</v>
      </c>
      <c r="H36" s="2">
        <f>G36*'Global Variables'!$C$9/1000</f>
        <v>1.2462333333333337</v>
      </c>
    </row>
    <row r="37" spans="1:8" ht="17" thickBot="1" x14ac:dyDescent="0.25">
      <c r="A37" s="18">
        <v>3</v>
      </c>
      <c r="B37" s="19"/>
      <c r="C37" s="19">
        <v>2</v>
      </c>
      <c r="D37" s="19">
        <v>0.16</v>
      </c>
      <c r="E37" s="19">
        <v>0.7</v>
      </c>
      <c r="F37" s="20">
        <f>100*(($E37*60/1000)/$D37)^2</f>
        <v>6.890625</v>
      </c>
      <c r="G37" s="20">
        <f>((60*$E37/1000)*1000*9.81*(F37/10)/(3600))/'Global Variables'!$C$8</f>
        <v>0.13143867187500002</v>
      </c>
      <c r="H37" s="21">
        <f>G37*'Global Variables'!$C$9/1000</f>
        <v>0.39431601562500007</v>
      </c>
    </row>
    <row r="38" spans="1:8" x14ac:dyDescent="0.2">
      <c r="A38">
        <v>4</v>
      </c>
      <c r="C38">
        <v>2</v>
      </c>
      <c r="D38">
        <v>0.25</v>
      </c>
      <c r="E38">
        <v>0.7</v>
      </c>
      <c r="F38" s="4">
        <f t="shared" si="4"/>
        <v>2.8224000000000005</v>
      </c>
      <c r="G38" s="4">
        <f>((60*$E38/1000)*1000*9.81*(F38/10)/(3600))/'Global Variables'!$C$8</f>
        <v>5.3837280000000022E-2</v>
      </c>
      <c r="H38" s="2">
        <f>G38*'Global Variables'!$C$9/1000</f>
        <v>0.16151184000000007</v>
      </c>
    </row>
    <row r="39" spans="1:8" x14ac:dyDescent="0.2">
      <c r="A39">
        <v>5</v>
      </c>
      <c r="C39">
        <v>2</v>
      </c>
      <c r="D39">
        <v>0.36</v>
      </c>
      <c r="E39">
        <v>0.7</v>
      </c>
      <c r="F39" s="4">
        <f t="shared" si="4"/>
        <v>1.3611111111111116</v>
      </c>
      <c r="G39" s="4">
        <f>((60*$E39/1000)*1000*9.81*(F39/10)/(3600))/'Global Variables'!$C$8</f>
        <v>2.5963194444444455E-2</v>
      </c>
      <c r="H39" s="2">
        <f>G39*'Global Variables'!$C$9/1000</f>
        <v>7.7889583333333359E-2</v>
      </c>
    </row>
    <row r="40" spans="1:8" x14ac:dyDescent="0.2">
      <c r="A40">
        <v>6</v>
      </c>
      <c r="C40">
        <v>2</v>
      </c>
      <c r="D40">
        <v>0.43</v>
      </c>
      <c r="E40">
        <v>0.7</v>
      </c>
      <c r="F40" s="4">
        <f t="shared" si="4"/>
        <v>0.95402920497566279</v>
      </c>
      <c r="G40" s="4">
        <f>((60*$E40/1000)*1000*9.81*(F40/10)/(3600))/'Global Variables'!$C$8</f>
        <v>1.8198107084910774E-2</v>
      </c>
      <c r="H40" s="2">
        <f>G40*'Global Variables'!$C$9/1000</f>
        <v>5.459432125473232E-2</v>
      </c>
    </row>
    <row r="41" spans="1:8" x14ac:dyDescent="0.2">
      <c r="A41">
        <v>7</v>
      </c>
      <c r="C41">
        <v>2</v>
      </c>
      <c r="D41">
        <v>0.52</v>
      </c>
      <c r="E41">
        <v>0.7</v>
      </c>
      <c r="F41" s="4">
        <f>100*(($E41*60/1000)/$D41)^2</f>
        <v>0.6523668639053255</v>
      </c>
      <c r="G41" s="4">
        <f>((60*$E41/1000)*1000*9.81*(F41/10)/(3600))/'Global Variables'!$C$8</f>
        <v>1.2443897928994085E-2</v>
      </c>
      <c r="H41" s="2">
        <f>G41*'Global Variables'!$C$9/1000</f>
        <v>3.7331693786982256E-2</v>
      </c>
    </row>
    <row r="42" spans="1:8" x14ac:dyDescent="0.2">
      <c r="A42" t="s">
        <v>125</v>
      </c>
      <c r="C42">
        <v>2</v>
      </c>
      <c r="D42">
        <v>0.73</v>
      </c>
      <c r="E42">
        <v>0.7</v>
      </c>
      <c r="F42" s="4">
        <f>100*(($E42*60/1000)/$D42)^2</f>
        <v>0.33101895289923067</v>
      </c>
      <c r="G42" s="4">
        <f>((60*$E42/1000)*1000*9.81*(F42/10)/(3600))/'Global Variables'!$C$8</f>
        <v>6.3141865265528251E-3</v>
      </c>
      <c r="H42" s="2">
        <f>G42*'Global Variables'!$C$9/1000</f>
        <v>1.8942559579658475E-2</v>
      </c>
    </row>
    <row r="51" spans="3:28" x14ac:dyDescent="0.2">
      <c r="J51" s="1" t="s">
        <v>119</v>
      </c>
      <c r="L51" s="1" t="s">
        <v>124</v>
      </c>
      <c r="T51" s="1" t="s">
        <v>129</v>
      </c>
      <c r="U51" s="1" t="s">
        <v>127</v>
      </c>
      <c r="V51" s="1" t="s">
        <v>130</v>
      </c>
      <c r="W51" s="1" t="s">
        <v>126</v>
      </c>
      <c r="X51" s="1" t="s">
        <v>128</v>
      </c>
      <c r="Y51" s="1" t="s">
        <v>46</v>
      </c>
      <c r="Z51" s="1" t="s">
        <v>104</v>
      </c>
      <c r="AA51" s="1" t="s">
        <v>105</v>
      </c>
      <c r="AB51" s="1" t="s">
        <v>107</v>
      </c>
    </row>
    <row r="52" spans="3:28" x14ac:dyDescent="0.2">
      <c r="C52">
        <v>0.5</v>
      </c>
      <c r="D52">
        <v>0.13</v>
      </c>
      <c r="E52">
        <v>3.1</v>
      </c>
      <c r="F52" s="4">
        <f t="shared" ref="F52:F71" si="5">100*(($E52*60/1000)/$D52)^2</f>
        <v>204.71005917159766</v>
      </c>
      <c r="G52" s="4">
        <f>((60*$E52/1000)*1000*9.81*(F52/10)/(3600))/'Global Variables'!$C$8</f>
        <v>17.292882248520712</v>
      </c>
      <c r="H52" s="2">
        <f>G52*'Global Variables'!$C$9/1000</f>
        <v>51.878646745562136</v>
      </c>
      <c r="T52" t="s">
        <v>146</v>
      </c>
      <c r="U52">
        <v>2.2999999999999998</v>
      </c>
      <c r="V52" t="s">
        <v>145</v>
      </c>
      <c r="W52">
        <v>0.5</v>
      </c>
      <c r="X52" s="4">
        <f>SQRT((1/(1/(U52^2)+1/(W52^2))))</f>
        <v>0.48858818196140047</v>
      </c>
      <c r="Y52">
        <v>3.1</v>
      </c>
      <c r="Z52" s="4">
        <f>100*(($Y52*60/1000)/$X52)^2</f>
        <v>14.492388657844991</v>
      </c>
      <c r="AA52" s="4">
        <f>((60*$Y52/1000)*1000*9.81*(Z52/10)/(3600))/'Global Variables'!$C$8</f>
        <v>1.2242445318714554</v>
      </c>
      <c r="AB52" s="2">
        <f>AA52*'Global Variables'!$C$9/1000</f>
        <v>3.6727335956143663</v>
      </c>
    </row>
    <row r="53" spans="3:28" x14ac:dyDescent="0.2">
      <c r="C53">
        <v>1</v>
      </c>
      <c r="D53">
        <v>0.27</v>
      </c>
      <c r="E53">
        <v>3.1</v>
      </c>
      <c r="F53" s="4">
        <f t="shared" si="5"/>
        <v>47.456790123456791</v>
      </c>
      <c r="G53" s="4">
        <f>((60*$E53/1000)*1000*9.81*(F53/10)/(3600))/'Global Variables'!$C$8</f>
        <v>4.0089123456790121</v>
      </c>
      <c r="H53" s="2">
        <f>G53*'Global Variables'!$C$9/1000</f>
        <v>12.026737037037037</v>
      </c>
      <c r="L53" t="s">
        <v>148</v>
      </c>
      <c r="T53" t="s">
        <v>133</v>
      </c>
      <c r="U53">
        <v>0.2</v>
      </c>
      <c r="V53" t="s">
        <v>145</v>
      </c>
      <c r="W53">
        <v>0.5</v>
      </c>
      <c r="X53" s="4">
        <f>SQRT((1/(1/(U53^2)+1/(W53^2))))</f>
        <v>0.18569533817705189</v>
      </c>
      <c r="Y53">
        <v>1.1000000000000001</v>
      </c>
      <c r="Z53" s="4">
        <f>100*(($Y53*60/1000)/$X53)^2</f>
        <v>12.632399999999997</v>
      </c>
      <c r="AA53" s="4">
        <f>((60*$Y53/1000)*1000*9.81*(Z53/10)/(3600))/'Global Variables'!$C$8</f>
        <v>0.37865618999999995</v>
      </c>
      <c r="AB53" s="2">
        <f>AA53*'Global Variables'!$C$9/1000</f>
        <v>1.1359685699999997</v>
      </c>
    </row>
    <row r="54" spans="3:28" x14ac:dyDescent="0.2">
      <c r="C54">
        <v>2</v>
      </c>
      <c r="D54">
        <v>0.5</v>
      </c>
      <c r="E54">
        <v>3.1</v>
      </c>
      <c r="F54" s="4">
        <f t="shared" si="5"/>
        <v>13.8384</v>
      </c>
      <c r="G54" s="4">
        <f>((60*$E54/1000)*1000*9.81*(F54/10)/(3600))/'Global Variables'!$C$8</f>
        <v>1.1689988400000002</v>
      </c>
      <c r="H54" s="2">
        <f>G54*'Global Variables'!$C$9/1000</f>
        <v>3.5069965200000004</v>
      </c>
    </row>
    <row r="55" spans="3:28" x14ac:dyDescent="0.2">
      <c r="C55">
        <v>3</v>
      </c>
      <c r="D55">
        <v>0.64</v>
      </c>
      <c r="E55">
        <v>3.1</v>
      </c>
      <c r="F55" s="4">
        <f t="shared" si="5"/>
        <v>8.4462890624999982</v>
      </c>
      <c r="G55" s="4">
        <f>((60*$E55/1000)*1000*9.81*(F55/10)/(3600))/'Global Variables'!$C$8</f>
        <v>0.71350026855468751</v>
      </c>
      <c r="H55" s="2">
        <f>G55*'Global Variables'!$C$9/1000</f>
        <v>2.1405008056640629</v>
      </c>
    </row>
    <row r="56" spans="3:28" x14ac:dyDescent="0.2">
      <c r="C56">
        <v>0.5</v>
      </c>
      <c r="D56">
        <v>0.13</v>
      </c>
      <c r="E56">
        <v>2.7</v>
      </c>
      <c r="F56" s="4">
        <f t="shared" si="5"/>
        <v>155.28994082840237</v>
      </c>
      <c r="G56" s="4">
        <f>((60*$E56/1000)*1000*9.81*(F56/10)/(3600))/'Global Variables'!$C$8</f>
        <v>11.425457396449705</v>
      </c>
      <c r="H56" s="2">
        <f>G56*'Global Variables'!$C$9/1000</f>
        <v>34.276372189349118</v>
      </c>
    </row>
    <row r="57" spans="3:28" x14ac:dyDescent="0.2">
      <c r="C57">
        <v>1</v>
      </c>
      <c r="D57">
        <v>0.27</v>
      </c>
      <c r="E57">
        <v>2.7</v>
      </c>
      <c r="F57" s="4">
        <f t="shared" si="5"/>
        <v>36</v>
      </c>
      <c r="G57" s="4">
        <f>((60*$E57/1000)*1000*9.81*(F57/10)/(3600))/'Global Variables'!$C$8</f>
        <v>2.6487000000000003</v>
      </c>
      <c r="H57" s="2">
        <f>G57*'Global Variables'!$C$9/1000</f>
        <v>7.9461000000000013</v>
      </c>
    </row>
    <row r="58" spans="3:28" x14ac:dyDescent="0.2">
      <c r="C58">
        <v>2</v>
      </c>
      <c r="D58">
        <v>0.5</v>
      </c>
      <c r="E58">
        <v>2.7</v>
      </c>
      <c r="F58" s="4">
        <f t="shared" si="5"/>
        <v>10.4976</v>
      </c>
      <c r="G58" s="4">
        <f>((60*$E58/1000)*1000*9.81*(F58/10)/(3600))/'Global Variables'!$C$8</f>
        <v>0.77236092000000012</v>
      </c>
      <c r="H58" s="2">
        <f>G58*'Global Variables'!$C$9/1000</f>
        <v>2.3170827600000004</v>
      </c>
    </row>
    <row r="59" spans="3:28" x14ac:dyDescent="0.2">
      <c r="C59">
        <v>3</v>
      </c>
      <c r="D59">
        <v>0.64</v>
      </c>
      <c r="E59">
        <v>2.7</v>
      </c>
      <c r="F59" s="4">
        <f t="shared" si="5"/>
        <v>6.4072265625</v>
      </c>
      <c r="G59" s="4">
        <f>((60*$E59/1000)*1000*9.81*(F59/10)/(3600))/'Global Variables'!$C$8</f>
        <v>0.47141169433593755</v>
      </c>
      <c r="H59" s="2">
        <f>G59*'Global Variables'!$C$9/1000</f>
        <v>1.4142350830078125</v>
      </c>
    </row>
    <row r="60" spans="3:28" x14ac:dyDescent="0.2">
      <c r="C60">
        <v>0.5</v>
      </c>
      <c r="D60">
        <v>0.13</v>
      </c>
      <c r="E60">
        <v>1.5</v>
      </c>
      <c r="F60" s="4">
        <f t="shared" si="5"/>
        <v>47.928994082840234</v>
      </c>
      <c r="G60" s="4">
        <f>((60*$E60/1000)*1000*9.81*(F60/10)/(3600))/'Global Variables'!$C$8</f>
        <v>1.9590976331360948</v>
      </c>
      <c r="H60" s="2">
        <f>G60*'Global Variables'!$C$9/1000</f>
        <v>5.8772928994082836</v>
      </c>
    </row>
    <row r="61" spans="3:28" x14ac:dyDescent="0.2">
      <c r="C61">
        <v>1</v>
      </c>
      <c r="D61">
        <v>0.27</v>
      </c>
      <c r="E61">
        <v>1.5</v>
      </c>
      <c r="F61" s="4">
        <f t="shared" si="5"/>
        <v>11.111111111111111</v>
      </c>
      <c r="G61" s="4">
        <f>((60*$E61/1000)*1000*9.81*(F61/10)/(3600))/'Global Variables'!$C$8</f>
        <v>0.45416666666666672</v>
      </c>
      <c r="H61" s="2">
        <f>G61*'Global Variables'!$C$9/1000</f>
        <v>1.3625000000000003</v>
      </c>
    </row>
    <row r="62" spans="3:28" x14ac:dyDescent="0.2">
      <c r="C62">
        <v>2</v>
      </c>
      <c r="D62">
        <v>0.5</v>
      </c>
      <c r="E62">
        <v>1.5</v>
      </c>
      <c r="F62" s="4">
        <f t="shared" si="5"/>
        <v>3.2399999999999998</v>
      </c>
      <c r="G62" s="4">
        <f>((60*$E62/1000)*1000*9.81*(F62/10)/(3600))/'Global Variables'!$C$8</f>
        <v>0.13243500000000002</v>
      </c>
      <c r="H62" s="2">
        <f>G62*'Global Variables'!$C$9/1000</f>
        <v>0.39730500000000007</v>
      </c>
    </row>
    <row r="63" spans="3:28" x14ac:dyDescent="0.2">
      <c r="C63">
        <v>3</v>
      </c>
      <c r="D63">
        <v>0.64</v>
      </c>
      <c r="E63">
        <v>1.5</v>
      </c>
      <c r="F63" s="4">
        <f t="shared" si="5"/>
        <v>1.9775390625</v>
      </c>
      <c r="G63" s="4">
        <f>((60*$E63/1000)*1000*9.81*(F63/10)/(3600))/'Global Variables'!$C$8</f>
        <v>8.0831909179687522E-2</v>
      </c>
      <c r="H63" s="2">
        <f>G63*'Global Variables'!$C$9/1000</f>
        <v>0.24249572753906257</v>
      </c>
    </row>
    <row r="64" spans="3:28" x14ac:dyDescent="0.2">
      <c r="C64">
        <v>0.5</v>
      </c>
      <c r="D64">
        <v>0.13</v>
      </c>
      <c r="E64">
        <v>1.1000000000000001</v>
      </c>
      <c r="F64" s="4">
        <f t="shared" si="5"/>
        <v>25.77514792899408</v>
      </c>
      <c r="G64" s="4">
        <f>((60*$E64/1000)*1000*9.81*(F64/10)/(3600))/'Global Variables'!$C$8</f>
        <v>0.77261005917159775</v>
      </c>
      <c r="H64" s="2">
        <f>G64*'Global Variables'!$C$9/1000</f>
        <v>2.3178301775147934</v>
      </c>
    </row>
    <row r="65" spans="3:8" x14ac:dyDescent="0.2">
      <c r="C65">
        <v>1</v>
      </c>
      <c r="D65">
        <v>0.27</v>
      </c>
      <c r="E65">
        <v>1.1000000000000001</v>
      </c>
      <c r="F65" s="4">
        <f t="shared" si="5"/>
        <v>5.9753086419753085</v>
      </c>
      <c r="G65" s="4">
        <f>((60*$E65/1000)*1000*9.81*(F65/10)/(3600))/'Global Variables'!$C$8</f>
        <v>0.17910987654320989</v>
      </c>
      <c r="H65" s="2">
        <f>G65*'Global Variables'!$C$9/1000</f>
        <v>0.53732962962962971</v>
      </c>
    </row>
    <row r="66" spans="3:8" x14ac:dyDescent="0.2">
      <c r="C66">
        <v>2</v>
      </c>
      <c r="D66">
        <v>0.5</v>
      </c>
      <c r="E66">
        <v>1.1000000000000001</v>
      </c>
      <c r="F66" s="4">
        <f t="shared" si="5"/>
        <v>1.7424000000000002</v>
      </c>
      <c r="G66" s="4">
        <f>((60*$E66/1000)*1000*9.81*(F66/10)/(3600))/'Global Variables'!$C$8</f>
        <v>5.2228440000000008E-2</v>
      </c>
      <c r="H66" s="2">
        <f>G66*'Global Variables'!$C$9/1000</f>
        <v>0.15668532000000002</v>
      </c>
    </row>
    <row r="67" spans="3:8" x14ac:dyDescent="0.2">
      <c r="C67">
        <v>3</v>
      </c>
      <c r="D67">
        <v>0.64</v>
      </c>
      <c r="E67">
        <v>1.1000000000000001</v>
      </c>
      <c r="F67" s="4">
        <f t="shared" si="5"/>
        <v>1.0634765625000002</v>
      </c>
      <c r="G67" s="4">
        <f>((60*$E67/1000)*1000*9.81*(F67/10)/(3600))/'Global Variables'!$C$8</f>
        <v>3.1877709960937514E-2</v>
      </c>
      <c r="H67" s="2">
        <f>G67*'Global Variables'!$C$9/1000</f>
        <v>9.5633129882812543E-2</v>
      </c>
    </row>
    <row r="68" spans="3:8" x14ac:dyDescent="0.2">
      <c r="C68">
        <v>0.5</v>
      </c>
      <c r="D68">
        <v>0.13</v>
      </c>
      <c r="E68">
        <v>0.7</v>
      </c>
      <c r="F68" s="4">
        <f t="shared" si="5"/>
        <v>10.437869822485208</v>
      </c>
      <c r="G68" s="4">
        <f>((60*$E68/1000)*1000*9.81*(F68/10)/(3600))/'Global Variables'!$C$8</f>
        <v>0.19910236686390537</v>
      </c>
      <c r="H68" s="2">
        <f>G68*'Global Variables'!$C$9/1000</f>
        <v>0.5973071005917161</v>
      </c>
    </row>
    <row r="69" spans="3:8" x14ac:dyDescent="0.2">
      <c r="C69">
        <v>1</v>
      </c>
      <c r="D69">
        <v>0.27</v>
      </c>
      <c r="E69">
        <v>0.7</v>
      </c>
      <c r="F69" s="4">
        <f t="shared" si="5"/>
        <v>2.4197530864197532</v>
      </c>
      <c r="G69" s="4">
        <f>((60*$E69/1000)*1000*9.81*(F69/10)/(3600))/'Global Variables'!$C$8</f>
        <v>4.6156790123456803E-2</v>
      </c>
      <c r="H69" s="2">
        <f>G69*'Global Variables'!$C$9/1000</f>
        <v>0.13847037037037041</v>
      </c>
    </row>
    <row r="70" spans="3:8" x14ac:dyDescent="0.2">
      <c r="C70">
        <v>2</v>
      </c>
      <c r="D70">
        <v>0.5</v>
      </c>
      <c r="E70">
        <v>0.7</v>
      </c>
      <c r="F70" s="4">
        <f t="shared" si="5"/>
        <v>0.70560000000000012</v>
      </c>
      <c r="G70" s="4">
        <f>((60*$E70/1000)*1000*9.81*(F70/10)/(3600))/'Global Variables'!$C$8</f>
        <v>1.3459320000000006E-2</v>
      </c>
      <c r="H70" s="2">
        <f>G70*'Global Variables'!$C$9/1000</f>
        <v>4.0377960000000018E-2</v>
      </c>
    </row>
    <row r="71" spans="3:8" x14ac:dyDescent="0.2">
      <c r="C71">
        <v>3</v>
      </c>
      <c r="D71">
        <v>0.64</v>
      </c>
      <c r="E71">
        <v>0.7</v>
      </c>
      <c r="F71" s="4">
        <f t="shared" si="5"/>
        <v>0.4306640625</v>
      </c>
      <c r="G71" s="4">
        <f>((60*$E71/1000)*1000*9.81*(F71/10)/(3600))/'Global Variables'!$C$8</f>
        <v>8.2149169921875015E-3</v>
      </c>
      <c r="H71" s="2">
        <f>G71*'Global Variables'!$C$9/1000</f>
        <v>2.4644750976562504E-2</v>
      </c>
    </row>
  </sheetData>
  <conditionalFormatting sqref="F5:F23 F52:F71">
    <cfRule type="cellIs" dxfId="6" priority="5" operator="lessThan">
      <formula>20</formula>
    </cfRule>
  </conditionalFormatting>
  <conditionalFormatting sqref="F27:F42">
    <cfRule type="cellIs" dxfId="5" priority="3" operator="lessThan">
      <formula>20</formula>
    </cfRule>
  </conditionalFormatting>
  <conditionalFormatting sqref="Z4:Z5">
    <cfRule type="cellIs" dxfId="4" priority="2" operator="lessThan">
      <formula>20</formula>
    </cfRule>
  </conditionalFormatting>
  <conditionalFormatting sqref="Z52:Z53">
    <cfRule type="cellIs" dxfId="3" priority="1" operator="lessThan">
      <formula>20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71CDE-AECA-264D-97E7-DFBB79FD6D01}">
  <dimension ref="B2:XFD16"/>
  <sheetViews>
    <sheetView tabSelected="1" workbookViewId="0">
      <selection activeCell="F21" sqref="F21"/>
    </sheetView>
  </sheetViews>
  <sheetFormatPr baseColWidth="10" defaultColWidth="14.1640625" defaultRowHeight="16" x14ac:dyDescent="0.2"/>
  <cols>
    <col min="2" max="2" width="39.1640625" bestFit="1" customWidth="1"/>
    <col min="5" max="5" width="31" customWidth="1"/>
    <col min="6" max="6" width="31.6640625" customWidth="1"/>
  </cols>
  <sheetData>
    <row r="2" spans="2:6 16384:16384" ht="34" x14ac:dyDescent="0.2">
      <c r="B2" s="1" t="s">
        <v>157</v>
      </c>
      <c r="C2" s="68" t="s">
        <v>158</v>
      </c>
      <c r="D2" s="68" t="s">
        <v>159</v>
      </c>
      <c r="E2" s="68" t="s">
        <v>160</v>
      </c>
      <c r="F2" s="68" t="s">
        <v>161</v>
      </c>
    </row>
    <row r="3" spans="2:6 16384:16384" x14ac:dyDescent="0.2">
      <c r="B3" s="1"/>
    </row>
    <row r="4" spans="2:6 16384:16384" x14ac:dyDescent="0.2">
      <c r="B4" s="1" t="s">
        <v>152</v>
      </c>
      <c r="C4" s="5">
        <f>Emitters!$F17</f>
        <v>103.4</v>
      </c>
      <c r="D4" s="5">
        <f>Emitters!F33</f>
        <v>103.4</v>
      </c>
      <c r="E4" s="5">
        <f>Emitters!F49</f>
        <v>60.8</v>
      </c>
      <c r="F4" s="5">
        <f>Emitters!F65</f>
        <v>60.8</v>
      </c>
    </row>
    <row r="5" spans="2:6 16384:16384" x14ac:dyDescent="0.2">
      <c r="B5" s="1" t="s">
        <v>153</v>
      </c>
      <c r="C5">
        <f>Emitters!$I3</f>
        <v>45</v>
      </c>
      <c r="D5">
        <f>Emitters!I19</f>
        <v>35</v>
      </c>
      <c r="E5">
        <f>Emitters!I35</f>
        <v>45</v>
      </c>
      <c r="F5">
        <f>Emitters!I51</f>
        <v>35</v>
      </c>
    </row>
    <row r="6" spans="2:6 16384:16384" x14ac:dyDescent="0.2">
      <c r="B6" s="1" t="s">
        <v>154</v>
      </c>
      <c r="C6">
        <f>Emitters!$J3</f>
        <v>40</v>
      </c>
      <c r="D6">
        <f>Emitters!J19</f>
        <v>30</v>
      </c>
      <c r="E6">
        <f>Emitters!J35</f>
        <v>40</v>
      </c>
      <c r="F6">
        <f>Emitters!J51</f>
        <v>30</v>
      </c>
    </row>
    <row r="7" spans="2:6 16384:16384" x14ac:dyDescent="0.2">
      <c r="B7" s="1" t="s">
        <v>164</v>
      </c>
      <c r="C7" s="5">
        <f>Emitters!E17</f>
        <v>26539</v>
      </c>
      <c r="D7" s="5">
        <f>Emitters!E33</f>
        <v>26539</v>
      </c>
      <c r="E7" s="5">
        <f>Emitters!E49</f>
        <v>17278</v>
      </c>
      <c r="F7" s="5">
        <f>Emitters!E65</f>
        <v>17278</v>
      </c>
    </row>
    <row r="8" spans="2:6 16384:16384" x14ac:dyDescent="0.2">
      <c r="B8" s="1" t="s">
        <v>163</v>
      </c>
      <c r="C8" s="5">
        <f>Emitters!$K17</f>
        <v>9618.4465806176449</v>
      </c>
      <c r="D8" s="5">
        <f>Emitters!K33</f>
        <v>4524.6765344961823</v>
      </c>
      <c r="E8" s="5">
        <f>Emitters!K49</f>
        <v>6050.4227747809509</v>
      </c>
      <c r="F8" s="5">
        <f>Emitters!K65</f>
        <v>2734.1652346744427</v>
      </c>
    </row>
    <row r="9" spans="2:6 16384:16384" x14ac:dyDescent="0.2">
      <c r="B9" s="1"/>
    </row>
    <row r="10" spans="2:6 16384:16384" x14ac:dyDescent="0.2">
      <c r="B10" s="1" t="s">
        <v>156</v>
      </c>
      <c r="C10">
        <f>'Heat Pump'!$C16*1000</f>
        <v>2000</v>
      </c>
      <c r="D10">
        <f>'Heat Pump'!$C14*1000</f>
        <v>3500</v>
      </c>
      <c r="E10">
        <f>'Heat Pump'!$C16*1000</f>
        <v>2000</v>
      </c>
      <c r="F10">
        <f>'Heat Pump'!$C14*1000</f>
        <v>3500</v>
      </c>
    </row>
    <row r="11" spans="2:6 16384:16384" x14ac:dyDescent="0.2">
      <c r="B11" s="1" t="s">
        <v>165</v>
      </c>
      <c r="C11" s="5">
        <f>C10-C8</f>
        <v>-7618.4465806176449</v>
      </c>
      <c r="D11" s="5">
        <f>D10-D8</f>
        <v>-1024.6765344961823</v>
      </c>
      <c r="E11" s="5">
        <f>E10-E8</f>
        <v>-4050.4227747809509</v>
      </c>
      <c r="F11" s="5">
        <f>F10-F8</f>
        <v>765.83476532555733</v>
      </c>
    </row>
    <row r="12" spans="2:6 16384:16384" x14ac:dyDescent="0.2">
      <c r="B12" s="1" t="s">
        <v>166</v>
      </c>
      <c r="C12" t="str">
        <f>IF(C11&lt;0,"NO","YES")</f>
        <v>NO</v>
      </c>
      <c r="D12" t="str">
        <f t="shared" ref="D12:F12" si="0">IF(D11&lt;0,"NO","YES")</f>
        <v>NO</v>
      </c>
      <c r="E12" t="str">
        <f t="shared" si="0"/>
        <v>NO</v>
      </c>
      <c r="F12" t="str">
        <f t="shared" si="0"/>
        <v>YES</v>
      </c>
    </row>
    <row r="13" spans="2:6 16384:16384" x14ac:dyDescent="0.2">
      <c r="B13" s="1" t="s">
        <v>167</v>
      </c>
      <c r="C13" s="4">
        <f>((C4*4200*1)/C11)/60</f>
        <v>-0.95006244690544228</v>
      </c>
      <c r="D13" s="4">
        <f>((D4*4200*1)/D11)/60</f>
        <v>-7.0636925471888681</v>
      </c>
      <c r="E13" s="4">
        <f>((E4*4200*1)/E11)/60</f>
        <v>-1.0507545104918503</v>
      </c>
      <c r="F13" s="4">
        <f>((F4*4200*1)/F11)/60</f>
        <v>5.5573345487792905</v>
      </c>
      <c r="XFD13" s="5"/>
    </row>
    <row r="15" spans="2:6 16384:16384" x14ac:dyDescent="0.2">
      <c r="B15" s="1" t="s">
        <v>162</v>
      </c>
      <c r="C15">
        <v>100</v>
      </c>
      <c r="D15">
        <v>100</v>
      </c>
      <c r="E15">
        <v>100</v>
      </c>
      <c r="F15">
        <v>100</v>
      </c>
    </row>
    <row r="16" spans="2:6 16384:16384" x14ac:dyDescent="0.2">
      <c r="B16" s="1" t="s">
        <v>167</v>
      </c>
      <c r="C16" s="4">
        <f t="shared" ref="C16:E16" si="1">(((C15+C4)*4200*1)/C11)/60</f>
        <v>-1.86888492940587</v>
      </c>
      <c r="D16" s="4">
        <f t="shared" si="1"/>
        <v>-13.895116674063983</v>
      </c>
      <c r="E16" s="4">
        <f t="shared" si="1"/>
        <v>-2.7789691659060778</v>
      </c>
      <c r="F16" s="4">
        <f>(((F15+F4)*4200*1)/F11)/60</f>
        <v>14.697687425061018</v>
      </c>
    </row>
  </sheetData>
  <conditionalFormatting sqref="C12:F12">
    <cfRule type="containsText" dxfId="2" priority="2" operator="containsText" text="YES">
      <formula>NOT(ISERROR(SEARCH("YES",C12)))</formula>
    </cfRule>
    <cfRule type="containsText" dxfId="1" priority="1" operator="containsText" text="NO">
      <formula>NOT(ISERROR(SEARCH("NO",C12)))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Global Variables</vt:lpstr>
      <vt:lpstr>Pump Energy + Authority</vt:lpstr>
      <vt:lpstr>Heat Pump</vt:lpstr>
      <vt:lpstr>Heat Meter</vt:lpstr>
      <vt:lpstr>Emitters</vt:lpstr>
      <vt:lpstr>Pipes</vt:lpstr>
      <vt:lpstr>Taps</vt:lpstr>
      <vt:lpstr>Valves</vt:lpstr>
      <vt:lpstr>Runtime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 Cosic</dc:creator>
  <cp:lastModifiedBy>Marko Cosic</cp:lastModifiedBy>
  <dcterms:created xsi:type="dcterms:W3CDTF">2023-03-07T00:56:22Z</dcterms:created>
  <dcterms:modified xsi:type="dcterms:W3CDTF">2024-02-04T17:41:09Z</dcterms:modified>
</cp:coreProperties>
</file>